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/Users/martinvarela/Desktop/"/>
    </mc:Choice>
  </mc:AlternateContent>
  <xr:revisionPtr revIDLastSave="0" documentId="8_{25A2EA25-F742-4417-B622-A17922947A0A}" xr6:coauthVersionLast="47" xr6:coauthVersionMax="47" xr10:uidLastSave="{00000000-0000-0000-0000-000000000000}"/>
  <bookViews>
    <workbookView xWindow="4100" yWindow="500" windowWidth="32920" windowHeight="20180" tabRatio="500" firstSheet="3" activeTab="3" xr2:uid="{00000000-000D-0000-FFFF-FFFF00000000}"/>
  </bookViews>
  <sheets>
    <sheet name="DA Carryforward Analysis" sheetId="2" r:id="rId1"/>
    <sheet name="CF Funded Positions" sheetId="3" r:id="rId2"/>
    <sheet name="SRP Vacant Positions" sheetId="12" r:id="rId3"/>
    <sheet name="DA Carryforward Scenarios" sheetId="13" r:id="rId4"/>
    <sheet name="Bookstore Staff 2021-22" sheetId="8" r:id="rId5"/>
  </sheets>
  <definedNames>
    <definedName name="_xlnm.Print_Area" localSheetId="1">'CF Funded Positions'!#REF!</definedName>
    <definedName name="_xlnm.Print_Area" localSheetId="0">'DA Carryforward Analysis'!$A$1:$I$46</definedName>
    <definedName name="_xlnm.Print_Area" localSheetId="3">'DA Carryforward Scenarios'!$A$1:$I$60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U10" i="13"/>
  <c r="AC113" i="12"/>
  <c r="P21" i="13"/>
  <c r="S26" i="13"/>
  <c r="S23" i="13"/>
  <c r="R23" i="13"/>
  <c r="P23" i="13"/>
  <c r="AB113" i="12"/>
  <c r="AA113" i="12"/>
  <c r="Y137" i="12"/>
  <c r="Y134" i="12"/>
  <c r="AA25" i="3"/>
  <c r="I24" i="13"/>
  <c r="Y131" i="12"/>
  <c r="Z27" i="3"/>
  <c r="Z23" i="3"/>
  <c r="F9" i="13"/>
  <c r="G9" i="13"/>
  <c r="H9" i="13"/>
  <c r="I9" i="13"/>
  <c r="K9" i="13"/>
  <c r="M9" i="13"/>
  <c r="M10" i="13"/>
  <c r="G17" i="13"/>
  <c r="H17" i="13"/>
  <c r="I17" i="13"/>
  <c r="K17" i="13"/>
  <c r="M17" i="13"/>
  <c r="M22" i="13"/>
  <c r="M56" i="13"/>
  <c r="Z32" i="3"/>
  <c r="Z41" i="3"/>
  <c r="K22" i="13"/>
  <c r="I22" i="13"/>
  <c r="K26" i="13"/>
  <c r="Y138" i="12"/>
  <c r="Y135" i="12"/>
  <c r="Y132" i="12"/>
  <c r="M60" i="13"/>
  <c r="D10" i="13"/>
  <c r="D37" i="13"/>
  <c r="D39" i="13"/>
  <c r="D51" i="13"/>
  <c r="D56" i="13"/>
  <c r="E6" i="13"/>
  <c r="E10" i="13"/>
  <c r="E37" i="13"/>
  <c r="E39" i="13"/>
  <c r="E56" i="13"/>
  <c r="F6" i="13"/>
  <c r="F10" i="13"/>
  <c r="F16" i="13"/>
  <c r="F73" i="13"/>
  <c r="F83" i="13"/>
  <c r="F21" i="13"/>
  <c r="F39" i="13"/>
  <c r="F56" i="13"/>
  <c r="F90" i="13"/>
  <c r="F91" i="13"/>
  <c r="I71" i="13"/>
  <c r="I83" i="13"/>
  <c r="H71" i="13"/>
  <c r="H83" i="13"/>
  <c r="I65" i="13"/>
  <c r="H65" i="13"/>
  <c r="F65" i="13"/>
  <c r="E65" i="13"/>
  <c r="G6" i="13"/>
  <c r="G10" i="13"/>
  <c r="G16" i="13"/>
  <c r="G21" i="13"/>
  <c r="G37" i="13"/>
  <c r="G39" i="13"/>
  <c r="G43" i="13"/>
  <c r="G56" i="13"/>
  <c r="H6" i="13"/>
  <c r="H7" i="13"/>
  <c r="H10" i="13"/>
  <c r="H16" i="13"/>
  <c r="H22" i="13"/>
  <c r="H21" i="13"/>
  <c r="H56" i="13"/>
  <c r="I6" i="13"/>
  <c r="I7" i="13"/>
  <c r="I10" i="13"/>
  <c r="K10" i="13"/>
  <c r="K56" i="13"/>
  <c r="K60" i="13"/>
  <c r="H60" i="13"/>
  <c r="G60" i="13"/>
  <c r="F60" i="13"/>
  <c r="E60" i="13"/>
  <c r="D60" i="13"/>
  <c r="H41" i="3"/>
  <c r="G41" i="3"/>
  <c r="M13" i="8"/>
  <c r="M12" i="8"/>
  <c r="I20" i="2"/>
  <c r="J7" i="2"/>
  <c r="Y129" i="12"/>
  <c r="T11" i="12"/>
  <c r="T17" i="12"/>
  <c r="T28" i="12"/>
  <c r="T37" i="12"/>
  <c r="T113" i="12"/>
  <c r="U113" i="12"/>
  <c r="V113" i="12"/>
  <c r="W113" i="12"/>
  <c r="X113" i="12"/>
  <c r="Y113" i="12"/>
  <c r="T127" i="12"/>
  <c r="Y127" i="12"/>
  <c r="AK127" i="12"/>
  <c r="G46" i="3"/>
  <c r="I21" i="13" s="1"/>
  <c r="I56" i="13" s="1"/>
  <c r="I60" i="13" s="1"/>
  <c r="I19" i="2"/>
  <c r="J20" i="2"/>
  <c r="J19" i="2"/>
  <c r="H9" i="3"/>
  <c r="H15" i="3"/>
  <c r="H23" i="3"/>
  <c r="H26" i="3"/>
  <c r="H42" i="3"/>
  <c r="G26" i="3"/>
  <c r="G9" i="3"/>
  <c r="G15" i="3"/>
  <c r="G23" i="3"/>
  <c r="G42" i="3"/>
  <c r="F42" i="3"/>
  <c r="M9" i="8"/>
  <c r="G16" i="2"/>
  <c r="F23" i="3"/>
  <c r="E32" i="3"/>
  <c r="I20" i="3"/>
  <c r="I17" i="3"/>
  <c r="I12" i="3"/>
  <c r="I4" i="3"/>
  <c r="M10" i="8"/>
  <c r="F41" i="3"/>
  <c r="H20" i="2"/>
  <c r="H16" i="2"/>
  <c r="M6" i="8"/>
  <c r="M5" i="8"/>
  <c r="M4" i="8"/>
  <c r="M3" i="8"/>
  <c r="J17" i="2"/>
  <c r="J9" i="2"/>
  <c r="E23" i="3"/>
  <c r="E46" i="3"/>
  <c r="G25" i="2"/>
  <c r="G29" i="2"/>
  <c r="G23" i="2"/>
  <c r="G17" i="2"/>
  <c r="M7" i="8"/>
  <c r="K7" i="8"/>
  <c r="F46" i="3"/>
  <c r="H19" i="2"/>
  <c r="G19" i="2"/>
  <c r="F16" i="2"/>
  <c r="F59" i="2"/>
  <c r="F69" i="2"/>
  <c r="F19" i="2"/>
  <c r="F25" i="2"/>
  <c r="E25" i="2"/>
  <c r="E23" i="2"/>
  <c r="D25" i="2"/>
  <c r="D23" i="2"/>
  <c r="E51" i="2"/>
  <c r="D10" i="2"/>
  <c r="D37" i="2"/>
  <c r="I57" i="2"/>
  <c r="H57" i="2"/>
  <c r="H69" i="2"/>
  <c r="H51" i="2"/>
  <c r="I51" i="2"/>
  <c r="F51" i="2"/>
  <c r="H17" i="2"/>
  <c r="I17" i="2"/>
  <c r="F9" i="2"/>
  <c r="G9" i="2"/>
  <c r="H9" i="2"/>
  <c r="I9" i="2"/>
  <c r="H7" i="2"/>
  <c r="I7" i="2"/>
  <c r="I69" i="2"/>
  <c r="D42" i="2"/>
  <c r="D46" i="2"/>
  <c r="E6" i="2"/>
  <c r="E10" i="2"/>
  <c r="E42" i="2"/>
  <c r="E46" i="2"/>
  <c r="F6" i="2"/>
  <c r="F10" i="2"/>
  <c r="F42" i="2"/>
  <c r="G6" i="2"/>
  <c r="G10" i="2"/>
  <c r="G42" i="2"/>
  <c r="F76" i="2"/>
  <c r="F77" i="2"/>
  <c r="F46" i="2"/>
  <c r="G46" i="2"/>
  <c r="H6" i="2"/>
  <c r="H10" i="2"/>
  <c r="H42" i="2"/>
  <c r="I6" i="2"/>
  <c r="I10" i="2"/>
  <c r="I42" i="2"/>
  <c r="I46" i="2"/>
  <c r="H46" i="2"/>
  <c r="J6" i="2"/>
  <c r="J10" i="2"/>
  <c r="J42" i="2"/>
  <c r="J46" i="2"/>
  <c r="U56" i="13" l="1"/>
  <c r="U60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Varela</author>
  </authors>
  <commentList>
    <comment ref="F14" authorId="0" shapeId="0" xr:uid="{BF8A7D4D-F224-7D4E-8207-21AEE79E547A}">
      <text>
        <r>
          <rPr>
            <sz val="10"/>
            <color rgb="FF000000"/>
            <rFont val="Tahoma"/>
            <family val="2"/>
          </rPr>
          <t xml:space="preserve">District 2% enrollment adjustment
</t>
        </r>
      </text>
    </comment>
    <comment ref="F25" authorId="0" shapeId="0" xr:uid="{76DA7E81-7528-244F-B035-C50F7A089336}">
      <text>
        <r>
          <rPr>
            <sz val="10"/>
            <color rgb="FF000000"/>
            <rFont val="Calibri"/>
            <family val="2"/>
          </rPr>
          <t>Total release/reassigned time (458,676 + 68,025= $526,701)</t>
        </r>
      </text>
    </comment>
    <comment ref="F27" authorId="0" shapeId="0" xr:uid="{0E5B75AD-C1AB-304B-BA4A-3EC7868512B7}">
      <text>
        <r>
          <rPr>
            <sz val="10"/>
            <color rgb="FF000000"/>
            <rFont val="Calibri"/>
            <family val="2"/>
          </rPr>
          <t>Total overspent on 1320, Fund 114 -(699,206.14)  but should have been netted with excess on Fund 122 - 136,696.28 to a total overspent $(562,509.86)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Varela</author>
  </authors>
  <commentList>
    <comment ref="F14" authorId="0" shapeId="0" xr:uid="{A4712825-E720-204E-9F0E-7E47638A84CD}">
      <text>
        <r>
          <rPr>
            <sz val="10"/>
            <color rgb="FF000000"/>
            <rFont val="Tahoma"/>
            <family val="2"/>
          </rPr>
          <t xml:space="preserve">District 2% enrollment adjustment
</t>
        </r>
      </text>
    </comment>
    <comment ref="F39" authorId="0" shapeId="0" xr:uid="{FFC5D413-E5C7-CD4D-8C9A-3AD04B19048F}">
      <text>
        <r>
          <rPr>
            <sz val="10"/>
            <color rgb="FF000000"/>
            <rFont val="Calibri"/>
            <family val="2"/>
          </rPr>
          <t>Total release/reassigned time (458,676 + 68,025= $526,701)</t>
        </r>
      </text>
    </comment>
    <comment ref="F41" authorId="0" shapeId="0" xr:uid="{A5E12ACE-8F97-F941-8C59-35E65117B9BD}">
      <text>
        <r>
          <rPr>
            <sz val="10"/>
            <color rgb="FF000000"/>
            <rFont val="Calibri"/>
            <family val="2"/>
          </rPr>
          <t>Total overspent on 1320, Fund 114 -(699,206.14)  but should have been netted with excess on Fund 122 - 136,696.28 to a total overspent $(562,509.86)</t>
        </r>
      </text>
    </comment>
  </commentList>
</comments>
</file>

<file path=xl/sharedStrings.xml><?xml version="1.0" encoding="utf-8"?>
<sst xmlns="http://schemas.openxmlformats.org/spreadsheetml/2006/main" count="1128" uniqueCount="376">
  <si>
    <t>De Anza College</t>
  </si>
  <si>
    <t>Report date:</t>
  </si>
  <si>
    <r>
      <t xml:space="preserve">Carryforward Analysis  </t>
    </r>
    <r>
      <rPr>
        <b/>
        <sz val="12"/>
        <color theme="1"/>
        <rFont val="Calibri"/>
        <family val="2"/>
        <scheme val="minor"/>
      </rPr>
      <t>- YTD Forecast</t>
    </r>
  </si>
  <si>
    <t>FY 17-18</t>
  </si>
  <si>
    <t>FY 18-19</t>
  </si>
  <si>
    <t>FY 19-20</t>
  </si>
  <si>
    <t>FY 2020-21</t>
  </si>
  <si>
    <t>FY 2021-22</t>
  </si>
  <si>
    <t>FY 2022-23</t>
  </si>
  <si>
    <t>FY 2023-24</t>
  </si>
  <si>
    <t>Actuals</t>
  </si>
  <si>
    <t>Estimate</t>
  </si>
  <si>
    <t>Beginning Balance</t>
  </si>
  <si>
    <t>Less: Restricted Revenue Funds</t>
  </si>
  <si>
    <t>SmartCard</t>
  </si>
  <si>
    <t>Less: Accreditation Reserve</t>
  </si>
  <si>
    <t>Revised Beginning Balance</t>
  </si>
  <si>
    <t>Local Revenue Adjustment</t>
  </si>
  <si>
    <t>B Budget Adjustment (District Allocation)</t>
  </si>
  <si>
    <t>Salary Lapse/PAA/AAA/PG Backfill (net)</t>
  </si>
  <si>
    <t>Summer FA (labor/benefits) Backfill</t>
  </si>
  <si>
    <t>Academic Senate Release Backfill</t>
  </si>
  <si>
    <t>Net One-Time/Positions funded from CF</t>
  </si>
  <si>
    <t>4 Bookstore Positions</t>
  </si>
  <si>
    <t>PDL/SDL</t>
  </si>
  <si>
    <t>B Budget Standardization</t>
  </si>
  <si>
    <t>*Estimated Supplemental</t>
  </si>
  <si>
    <t>Campus Release/Reassigned Time</t>
  </si>
  <si>
    <t>SLO/SAO Release Time</t>
  </si>
  <si>
    <t>Net Changes in 1320 with all Certif. Float in F114 and 1320 F122</t>
  </si>
  <si>
    <t>Difference of B Actuals vs. Budget</t>
  </si>
  <si>
    <t>Fund 400 - Capital Project Transfer In</t>
  </si>
  <si>
    <t>Mandatory Budget cuts (One Time)</t>
  </si>
  <si>
    <t>Misc Adjustments</t>
  </si>
  <si>
    <t>Recruitment Costs</t>
  </si>
  <si>
    <t>SmartPass Adjustment</t>
  </si>
  <si>
    <t>Accreditation Reserve</t>
  </si>
  <si>
    <t>Financial Aid</t>
  </si>
  <si>
    <t>Facility Master Plan</t>
  </si>
  <si>
    <t>Ending Fund Balance</t>
  </si>
  <si>
    <t>Less: General Reserve</t>
  </si>
  <si>
    <t>Estimated Non-allocated Ending Balance</t>
  </si>
  <si>
    <t>Detail of Net positions funded from carry forward</t>
  </si>
  <si>
    <t>NOTES:</t>
  </si>
  <si>
    <t>Ongoing</t>
  </si>
  <si>
    <t>230100 - Postal Services Assistant</t>
  </si>
  <si>
    <t>Moved to Temp 210008 carryforward</t>
  </si>
  <si>
    <t xml:space="preserve">230984 - Multimedia producer </t>
  </si>
  <si>
    <t xml:space="preserve">Custodio, Marlo                         </t>
  </si>
  <si>
    <t>Senior Staff agreed to fund the difference from carryforward</t>
  </si>
  <si>
    <t>230946 - Program Coordinator II</t>
  </si>
  <si>
    <t xml:space="preserve">Esquivel Moreno, Angelica </t>
  </si>
  <si>
    <t>Previously funded by VIDA at Foundation but President C. P. approved 100% funding from year 2020-21</t>
  </si>
  <si>
    <t>230975 - Laboratory Technician</t>
  </si>
  <si>
    <t>Woldu, Mengistu (Former Employee)</t>
  </si>
  <si>
    <t>$24K short on funding in position from eliminated PM Storeroom Clerk. CF will cover an additional 50% increase until Foundation funds are secured. Approved by senior staff</t>
  </si>
  <si>
    <t>(Eliminated PM Storeroom Clerk position is only at 30% funding $12,621)</t>
  </si>
  <si>
    <t xml:space="preserve">258710 - Counselor  </t>
  </si>
  <si>
    <t xml:space="preserve">Wethington, Pauline                       </t>
  </si>
  <si>
    <t>Commitment to fund this until 2024 - email from Pam</t>
  </si>
  <si>
    <t>250259 - Assistant Director, EOPS</t>
  </si>
  <si>
    <t>Melinda Hughes</t>
  </si>
  <si>
    <t>Funding SRP position for 2019-20 or until SS find a replacement position to be submitted to district</t>
  </si>
  <si>
    <t>250293 - Instructor  - 1430</t>
  </si>
  <si>
    <t>Roy, Jayanti</t>
  </si>
  <si>
    <t>On-Time</t>
  </si>
  <si>
    <t>eLumen: Curriculum and Assessment Management Software</t>
  </si>
  <si>
    <t>New 250330 - 250025 - Instr, Nursing (Pending Hrycyk, Catherine - 10676025's retire 6/30/21)</t>
  </si>
  <si>
    <t>New 250434 - 250171 - Instr, Nursing (Pending Cozzens, Sherri  - 10543087' retire 6/30/21)</t>
  </si>
  <si>
    <t>New 250444 - 258898 - Instr, Nursing (Pending Williams, Patricia - 10848046' retire 6/30/21)</t>
  </si>
  <si>
    <t>Detail of Net positions funded from carry forward (reference from above line)</t>
  </si>
  <si>
    <t>*</t>
  </si>
  <si>
    <t>Accreditation Team visits - $70K Maximum reserves</t>
  </si>
  <si>
    <t>Ongoing Funding from Carryforward Funding</t>
  </si>
  <si>
    <t>FY 20-21</t>
  </si>
  <si>
    <t>FY 21-22</t>
  </si>
  <si>
    <t>FY 22-23</t>
  </si>
  <si>
    <t>FY 23-24</t>
  </si>
  <si>
    <t>Ongoing "B" Balance from 2016-2017</t>
  </si>
  <si>
    <t>One Time/Permanent Adjustments</t>
  </si>
  <si>
    <t>2017-2018</t>
  </si>
  <si>
    <t>230289 - Decreased 12 to 11 Months</t>
  </si>
  <si>
    <t>DL Support Tech</t>
  </si>
  <si>
    <t>230945 - Custodian II NEW</t>
  </si>
  <si>
    <t>230660 - Increase in F114</t>
  </si>
  <si>
    <t>T. Lockwood</t>
  </si>
  <si>
    <t>210053 - Move from M"C"to F114</t>
  </si>
  <si>
    <t>P. Grey</t>
  </si>
  <si>
    <t>2018-2019</t>
  </si>
  <si>
    <t>210053 - District Correction</t>
  </si>
  <si>
    <t>230100 - 50% moved to Bookstore</t>
  </si>
  <si>
    <t>D. Nguyen</t>
  </si>
  <si>
    <t>230100 - Tier 1 Reduction F114</t>
  </si>
  <si>
    <t>2019-2020</t>
  </si>
  <si>
    <t>Thx T for keeping the email</t>
  </si>
  <si>
    <t>Tier 2 Reduction - Shortage</t>
  </si>
  <si>
    <t xml:space="preserve">   Remove - Reduced in our B budget 2019-20 - B Allocation</t>
  </si>
  <si>
    <t>Potential adjustments</t>
  </si>
  <si>
    <t>2020-2021</t>
  </si>
  <si>
    <t>230975 - Laboratory Technician - permanent 50% F114</t>
  </si>
  <si>
    <t>234820 - PM Storeroom clerk C2-35 - position eliminated</t>
  </si>
  <si>
    <t>Instruction Positions</t>
  </si>
  <si>
    <t>210053 - Director College Operations (Funding change)</t>
  </si>
  <si>
    <t xml:space="preserve">Mahato, Jennifer  </t>
  </si>
  <si>
    <t xml:space="preserve">   Remove - Reduced in our B budget 2021-22 - B Allocation</t>
  </si>
  <si>
    <t>210053 - Director College Operations (Reclassification)</t>
  </si>
  <si>
    <t>210001 - Dean of Enr Svcs, ISP &amp;Outreach</t>
  </si>
  <si>
    <t xml:space="preserve">Galoyan, Naziko                         </t>
  </si>
  <si>
    <t>M. Agustin (Paid by Bkstore in 2021)</t>
  </si>
  <si>
    <t>To move to Equity</t>
  </si>
  <si>
    <t>Dream Resource Liason Support</t>
  </si>
  <si>
    <t>SRP</t>
  </si>
  <si>
    <t>250259 - Assistant Director, EOPS (SRP)</t>
  </si>
  <si>
    <t xml:space="preserve">Hughes, Melinda </t>
  </si>
  <si>
    <t>Meeting with Teri</t>
  </si>
  <si>
    <t>Temporary positions - moving 80% funding to SWP and 20% fund 114</t>
  </si>
  <si>
    <t>How to manage on-going B allocation</t>
  </si>
  <si>
    <t>New 250330 - 250025 - Instr, Nursing (Pending Hrycyk, C. - 10676025's retire 6/30/21)</t>
  </si>
  <si>
    <t xml:space="preserve">   -Positions - reclasses - how to handle the current year and on going</t>
  </si>
  <si>
    <t>New 250434 - 250171 - Instr, Nursing (Pending Cozzens, S.  - 10543087' retire 6/30/21)</t>
  </si>
  <si>
    <t>New 250444 - 258898 - Instr, Nursing (Pending Williams, P. - 10848046' retire 6/30/21)</t>
  </si>
  <si>
    <t>2021-2022</t>
  </si>
  <si>
    <t>Bookstore Transition - 4 Backfill Staff Positions</t>
  </si>
  <si>
    <t>250210 - Director, Athletics &amp; Student-Athlete Success</t>
  </si>
  <si>
    <t>Faculty moving from 10 to 11 month contract</t>
  </si>
  <si>
    <t>Total Funded from Carryforward:</t>
  </si>
  <si>
    <t>Campus</t>
  </si>
  <si>
    <t>E_Class</t>
  </si>
  <si>
    <t>Posn</t>
  </si>
  <si>
    <t>Job_Title</t>
  </si>
  <si>
    <t>Status</t>
  </si>
  <si>
    <t>Employee ID</t>
  </si>
  <si>
    <t>Notes</t>
  </si>
  <si>
    <t>SalaryGrade</t>
  </si>
  <si>
    <t>SalaryTable</t>
  </si>
  <si>
    <t>Index</t>
  </si>
  <si>
    <t>FUND</t>
  </si>
  <si>
    <t>FUND_Title</t>
  </si>
  <si>
    <t>ORGN</t>
  </si>
  <si>
    <t>ORGN_Title</t>
  </si>
  <si>
    <t>ACCT</t>
  </si>
  <si>
    <t>PROG</t>
  </si>
  <si>
    <t>LaborDistribPercent</t>
  </si>
  <si>
    <t>PositionApptPercent</t>
  </si>
  <si>
    <t>Budgeted_Salary</t>
  </si>
  <si>
    <t>Report_to</t>
  </si>
  <si>
    <t>Report_to_desc</t>
  </si>
  <si>
    <t>Classified</t>
  </si>
  <si>
    <t>DA</t>
  </si>
  <si>
    <t>A2</t>
  </si>
  <si>
    <t>Early Retiree/Manager</t>
  </si>
  <si>
    <t>General Operating- Unrestricted</t>
  </si>
  <si>
    <t>Business Accounting</t>
  </si>
  <si>
    <t>Vice President, Instruction</t>
  </si>
  <si>
    <t>C1</t>
  </si>
  <si>
    <t>Instruct Assoc, Discipline</t>
  </si>
  <si>
    <t>Biology Department</t>
  </si>
  <si>
    <t>Div Dean, Biol/Health/Envr Sci</t>
  </si>
  <si>
    <t>Laboratory Technician, Nursing</t>
  </si>
  <si>
    <t>Health Technology</t>
  </si>
  <si>
    <t>Athletic Trainer</t>
  </si>
  <si>
    <t>Athletics General</t>
  </si>
  <si>
    <t>Dean, Phys Ed &amp; Athletics</t>
  </si>
  <si>
    <t>Coord, Instruct Supt, Disc</t>
  </si>
  <si>
    <t>Student Success Center</t>
  </si>
  <si>
    <t>Program Supervisor</t>
  </si>
  <si>
    <t>Laboratory Tech, Discipline</t>
  </si>
  <si>
    <t>Chemistry Program</t>
  </si>
  <si>
    <t>Div Dean, Phy Sci, Math &amp; Engr</t>
  </si>
  <si>
    <t>C2</t>
  </si>
  <si>
    <t>Laboratory Asst, Auto Tech</t>
  </si>
  <si>
    <t>Automotive Technology</t>
  </si>
  <si>
    <t>Div Dean, Bus,Comp Sci&amp;App Tec</t>
  </si>
  <si>
    <t>C3</t>
  </si>
  <si>
    <t>Custodian I</t>
  </si>
  <si>
    <t>DA-Custodial</t>
  </si>
  <si>
    <t>Manager, Operations - DA</t>
  </si>
  <si>
    <t>Faculty</t>
  </si>
  <si>
    <t>Elimination</t>
  </si>
  <si>
    <t>F1</t>
  </si>
  <si>
    <t>Instructor</t>
  </si>
  <si>
    <t>Eliminated as of 06/2021</t>
  </si>
  <si>
    <t>was Hrycyk, C. Replaced with "new" position 250330</t>
  </si>
  <si>
    <t>FA</t>
  </si>
  <si>
    <t>Vacant Positions - DA (F114)</t>
  </si>
  <si>
    <t>Was Cozzens. Replaced with  "new"position 250444</t>
  </si>
  <si>
    <t>Nursing Program</t>
  </si>
  <si>
    <t>Eliminated as of 06/30/2021</t>
  </si>
  <si>
    <t>was Williams P. Replaced with "new" position 250434</t>
  </si>
  <si>
    <t xml:space="preserve"> - In Recruitment</t>
  </si>
  <si>
    <t>In Recruitment</t>
  </si>
  <si>
    <t>340 | 20-062</t>
  </si>
  <si>
    <t xml:space="preserve">Filled </t>
  </si>
  <si>
    <t>Lydia Hearn = interim AVPI</t>
  </si>
  <si>
    <t>English</t>
  </si>
  <si>
    <t>Div Dean, Language Arts</t>
  </si>
  <si>
    <t>Recruitment</t>
  </si>
  <si>
    <t>592 |</t>
  </si>
  <si>
    <t>10 to 11 months. CCF done</t>
  </si>
  <si>
    <t xml:space="preserve">Recruitment </t>
  </si>
  <si>
    <t>581 |</t>
  </si>
  <si>
    <t>100% 1160</t>
  </si>
  <si>
    <t>Early Childhood Development</t>
  </si>
  <si>
    <t>Div Dean, Soc Sci &amp; Humanities</t>
  </si>
  <si>
    <t>Pending recruitment for physics</t>
  </si>
  <si>
    <t xml:space="preserve">06/10/2021 College Council approved for Physics position. </t>
  </si>
  <si>
    <t>Alvarez, Rosanna. New hire date 01/03/2022</t>
  </si>
  <si>
    <t>Intercultural Studies</t>
  </si>
  <si>
    <t>Pending recuitment for nursing position</t>
  </si>
  <si>
    <t>was Frie</t>
  </si>
  <si>
    <t>F2</t>
  </si>
  <si>
    <t>568 |</t>
  </si>
  <si>
    <t>FB</t>
  </si>
  <si>
    <t>Library Services</t>
  </si>
  <si>
    <t>Assoc VP, Instruction</t>
  </si>
  <si>
    <t>was Miskin, Predrag (Peter)</t>
  </si>
  <si>
    <t>Fund 114 Available</t>
  </si>
  <si>
    <t xml:space="preserve">Vacant as of 08/2021 </t>
  </si>
  <si>
    <t>was Mujal</t>
  </si>
  <si>
    <t>History</t>
  </si>
  <si>
    <t xml:space="preserve">Vacant as of 09/2021 </t>
  </si>
  <si>
    <t>Was Vinall</t>
  </si>
  <si>
    <t>International Studies</t>
  </si>
  <si>
    <t>Div Dean, Intercult/Internat</t>
  </si>
  <si>
    <t>HR?? is this position vacant now?</t>
  </si>
  <si>
    <t xml:space="preserve">Mosh, Farshod  - ??                  </t>
  </si>
  <si>
    <t>Mathematics</t>
  </si>
  <si>
    <t xml:space="preserve">Vacant as of 06/2021 </t>
  </si>
  <si>
    <t xml:space="preserve">Former Delaney, Anthony </t>
  </si>
  <si>
    <t>? No record of this postion - No Budget</t>
  </si>
  <si>
    <t>was eric houser end 12/2017</t>
  </si>
  <si>
    <t>Note in Banner: 11/27/17 one day (August 10, 2017) contract extension for Erik Houser per DN -pc</t>
  </si>
  <si>
    <t>VC, Human Resources &amp; Equal Op</t>
  </si>
  <si>
    <t>Athletic Director - DA</t>
  </si>
  <si>
    <t xml:space="preserve">Vacant </t>
  </si>
  <si>
    <t>FC</t>
  </si>
  <si>
    <t>Counselor, Foster Youth</t>
  </si>
  <si>
    <t xml:space="preserve">vacant </t>
  </si>
  <si>
    <t>Acad, Temp, Non-Tenured Track</t>
  </si>
  <si>
    <t>Dean, EOPS/Care &amp; Student Dev</t>
  </si>
  <si>
    <t>Faculty Instructional 10</t>
  </si>
  <si>
    <t>was stephen wolfe end 06/2015</t>
  </si>
  <si>
    <t>Note In Banner:12/3/14 OTC created for Stephen Wolfe for 2014-2015 per Dorene -pc</t>
  </si>
  <si>
    <t>EPA-Unrestricted</t>
  </si>
  <si>
    <t>Stipends/Additional Pay</t>
  </si>
  <si>
    <t>Additional Pay</t>
  </si>
  <si>
    <t>Football Program</t>
  </si>
  <si>
    <t>Baseball Program</t>
  </si>
  <si>
    <t>Womens Volleyball</t>
  </si>
  <si>
    <t>Social Sciences Division Office</t>
  </si>
  <si>
    <t>Womens Soccer</t>
  </si>
  <si>
    <t>Womens Softball</t>
  </si>
  <si>
    <t>Mens Basketball Program</t>
  </si>
  <si>
    <t>Womens Basketball</t>
  </si>
  <si>
    <t>Womens Track &amp; Field</t>
  </si>
  <si>
    <t>Mens Track &amp; Field</t>
  </si>
  <si>
    <t>Womens Swimming &amp; Diving</t>
  </si>
  <si>
    <t>Director, College Life</t>
  </si>
  <si>
    <t>College Life</t>
  </si>
  <si>
    <t>Director, Nursing Program</t>
  </si>
  <si>
    <t>Bio Health Science Division</t>
  </si>
  <si>
    <t>Counselor</t>
  </si>
  <si>
    <t>Counseling</t>
  </si>
  <si>
    <t>Dean, Counseling &amp; Student Suc</t>
  </si>
  <si>
    <t>Librarian</t>
  </si>
  <si>
    <t>Dean, Library Services</t>
  </si>
  <si>
    <t>Coord Of Student Activities</t>
  </si>
  <si>
    <t>VP, Student Services</t>
  </si>
  <si>
    <t>Temporary Replacements</t>
  </si>
  <si>
    <t>Was a temp position. no longer needed</t>
  </si>
  <si>
    <t>was Randy Claros end 2014</t>
  </si>
  <si>
    <t>FTF Temp EdCode ** Backfill for S. Woo 258879 PDL 07/2013-06/2014</t>
  </si>
  <si>
    <t>Group Counseling</t>
  </si>
  <si>
    <t>Instructor, Mathematics</t>
  </si>
  <si>
    <t>Mohamed Rezvani 09/2019-06/2020</t>
  </si>
  <si>
    <t>FTF-Temp/ Non-Tenure                         
Ed Code 87481 (backfill for Ninjinbam) sep 2019-june 2020</t>
  </si>
  <si>
    <t>F6</t>
  </si>
  <si>
    <t>Faculty Summer</t>
  </si>
  <si>
    <t>???</t>
  </si>
  <si>
    <t>F8</t>
  </si>
  <si>
    <t>Collect Bargain-DA</t>
  </si>
  <si>
    <t>Early Retirees</t>
  </si>
  <si>
    <t>F7</t>
  </si>
  <si>
    <t>Early Retiree/Instructional</t>
  </si>
  <si>
    <t>Early Retiree/Non-Instruction</t>
  </si>
  <si>
    <t>Computer Write Lab</t>
  </si>
  <si>
    <t>Early Retiree/Instruction</t>
  </si>
  <si>
    <t>Psychology</t>
  </si>
  <si>
    <t>Math Counseling</t>
  </si>
  <si>
    <t>PE Courses</t>
  </si>
  <si>
    <t>Philosophy</t>
  </si>
  <si>
    <t>Economics</t>
  </si>
  <si>
    <t>Communications Studies</t>
  </si>
  <si>
    <t>SRP Positions</t>
  </si>
  <si>
    <t>C4</t>
  </si>
  <si>
    <t xml:space="preserve">EOPS Supervisor               </t>
  </si>
  <si>
    <t xml:space="preserve">Booye, Marilyn                          </t>
  </si>
  <si>
    <t xml:space="preserve">Administrative Assistant II   </t>
  </si>
  <si>
    <t xml:space="preserve">Bostick, Sasha                          </t>
  </si>
  <si>
    <t xml:space="preserve">Web &amp; Print Comm Design Coord </t>
  </si>
  <si>
    <t xml:space="preserve">Carungay, Edwin                         </t>
  </si>
  <si>
    <t xml:space="preserve">Facilities &amp; Equipment Asst   </t>
  </si>
  <si>
    <t xml:space="preserve">Cornell, Raymond                        </t>
  </si>
  <si>
    <t xml:space="preserve">Web Support Technician        </t>
  </si>
  <si>
    <t xml:space="preserve">Diaz, Juan                              </t>
  </si>
  <si>
    <t xml:space="preserve">Custodian Lead                </t>
  </si>
  <si>
    <t xml:space="preserve">Ferreira, Ana Maria                     </t>
  </si>
  <si>
    <t xml:space="preserve">Program Coordinator, Senior   </t>
  </si>
  <si>
    <t xml:space="preserve">Guzman, Claudia                         </t>
  </si>
  <si>
    <t xml:space="preserve">Division Administrative Asst  </t>
  </si>
  <si>
    <t xml:space="preserve">Hoang, Garett                           </t>
  </si>
  <si>
    <t xml:space="preserve">Kasoyan, Oksanna                        </t>
  </si>
  <si>
    <t xml:space="preserve">Human Resources Technician II </t>
  </si>
  <si>
    <t xml:space="preserve">Perales, Catherine                      </t>
  </si>
  <si>
    <t xml:space="preserve">Juarez Gonzalez, Jose                   </t>
  </si>
  <si>
    <t>Faculty SRP Available - Pending Campus Decision</t>
  </si>
  <si>
    <t>Position</t>
  </si>
  <si>
    <t>Title</t>
  </si>
  <si>
    <t>Percentage</t>
  </si>
  <si>
    <t>Budget Amount</t>
  </si>
  <si>
    <t>Not in recruitment</t>
  </si>
  <si>
    <t>Instr/Pgm Dir,Medical Lab Tech</t>
  </si>
  <si>
    <t>Dean, Creative Arts</t>
  </si>
  <si>
    <t>10 Positions</t>
  </si>
  <si>
    <t>Faculty  SRP Not Available</t>
  </si>
  <si>
    <t>Supplemental Retirement Plan</t>
  </si>
  <si>
    <t>Business General Courses</t>
  </si>
  <si>
    <t>Counselor/Coord, Transfer Cntr</t>
  </si>
  <si>
    <t>7 Positions</t>
  </si>
  <si>
    <t>Total SRP Funding:</t>
  </si>
  <si>
    <t>Scenario 1 - 60% of SRP Funds</t>
  </si>
  <si>
    <t>Year 1 Balance</t>
  </si>
  <si>
    <t>Scenario 2 - 50% of SRP Funds</t>
  </si>
  <si>
    <t>Scenario 3 - 26% of SRP Funds</t>
  </si>
  <si>
    <r>
      <t xml:space="preserve">Carryforward Analysis  </t>
    </r>
    <r>
      <rPr>
        <b/>
        <sz val="12"/>
        <color theme="1"/>
        <rFont val="Calibri"/>
        <family val="2"/>
        <scheme val="minor"/>
      </rPr>
      <t>- Scenarios</t>
    </r>
  </si>
  <si>
    <t>Scenario 1</t>
  </si>
  <si>
    <t>Scenario 2</t>
  </si>
  <si>
    <t>Scenario 3</t>
  </si>
  <si>
    <t>FA Scenario 4</t>
  </si>
  <si>
    <t>Scenario 5</t>
  </si>
  <si>
    <t>Up for discussion</t>
  </si>
  <si>
    <t>2021-22</t>
  </si>
  <si>
    <t>2022-23</t>
  </si>
  <si>
    <t>Total SRP Reallocation</t>
  </si>
  <si>
    <t>SRP Funding</t>
  </si>
  <si>
    <t>• 60%  SRP reallocation</t>
  </si>
  <si>
    <t>K29 / Total SRP</t>
  </si>
  <si>
    <t xml:space="preserve">• 50% SRP reallocation </t>
  </si>
  <si>
    <t>• 26% SRP reallocation</t>
  </si>
  <si>
    <t>Scenario 5: 100% SRP reallocation</t>
  </si>
  <si>
    <t>With the exception of the Counselor position which will remain in carryforward</t>
  </si>
  <si>
    <t xml:space="preserve"> POS. NUM.  </t>
  </si>
  <si>
    <t xml:space="preserve">NAME                                    </t>
  </si>
  <si>
    <t xml:space="preserve">CWID      </t>
  </si>
  <si>
    <t>FUND CODE</t>
  </si>
  <si>
    <t>ORG CODE</t>
  </si>
  <si>
    <t xml:space="preserve">ORG DESC                                </t>
  </si>
  <si>
    <t>ACCT CODE</t>
  </si>
  <si>
    <t>PROG CODE</t>
  </si>
  <si>
    <t xml:space="preserve">JOB TITLE                     </t>
  </si>
  <si>
    <t xml:space="preserve">AMT/PCT   </t>
  </si>
  <si>
    <t xml:space="preserve">  FUND AMT </t>
  </si>
  <si>
    <t xml:space="preserve"> BENEFIT%</t>
  </si>
  <si>
    <t>BENEFIT AMT</t>
  </si>
  <si>
    <t xml:space="preserve">Jahn, Elizabeth                         </t>
  </si>
  <si>
    <t xml:space="preserve">DA-Bookstore                            </t>
  </si>
  <si>
    <t xml:space="preserve">Bookstore Courseware Coord    </t>
  </si>
  <si>
    <t xml:space="preserve">Brown, Jayme                            </t>
  </si>
  <si>
    <t xml:space="preserve">Coordinator, Bookstore </t>
  </si>
  <si>
    <t xml:space="preserve">Pitchford, Daniel                       </t>
  </si>
  <si>
    <t xml:space="preserve">Coord, Bookstore Courseware     </t>
  </si>
  <si>
    <t xml:space="preserve">Vuong, Nga                              </t>
  </si>
  <si>
    <t xml:space="preserve">Coordinator, Cashiering Services     </t>
  </si>
  <si>
    <t>Total</t>
  </si>
  <si>
    <t>Step 5%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</si>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</sst>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#,##0_ ;\-#,##0\ "/>
    <numFmt numFmtId="166" formatCode="yy"/>
    <numFmt numFmtId="167" formatCode="_(* #,##0_);_(* \(#,##0\);_(* &quot;-&quot;??_);_(@_)"/>
    <numFmt numFmtId="168" formatCode="_(&quot;$&quot;* #,##0_);_(&quot;$&quot;* \(#,##0\);_(&quot;$&quot;* &quot;-&quot;??_);_(@_)"/>
  </numFmts>
  <fonts count="20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i/>
      <sz val="12"/>
      <color rgb="FF000000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CBA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Alignment="1">
      <alignment horizontal="left" indent="2"/>
    </xf>
    <xf numFmtId="0" fontId="2" fillId="0" borderId="0" xfId="0" applyFont="1" applyAlignment="1">
      <alignment horizontal="right"/>
    </xf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2" fillId="3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14" fontId="2" fillId="0" borderId="0" xfId="0" applyNumberFormat="1" applyFont="1"/>
    <xf numFmtId="165" fontId="0" fillId="2" borderId="2" xfId="0" applyNumberFormat="1" applyFill="1" applyBorder="1"/>
    <xf numFmtId="0" fontId="4" fillId="0" borderId="3" xfId="0" applyFont="1" applyBorder="1"/>
    <xf numFmtId="0" fontId="0" fillId="0" borderId="3" xfId="0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165" fontId="0" fillId="0" borderId="4" xfId="0" applyNumberFormat="1" applyBorder="1"/>
    <xf numFmtId="0" fontId="9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4" xfId="0" applyBorder="1"/>
    <xf numFmtId="0" fontId="2" fillId="0" borderId="4" xfId="0" applyFont="1" applyBorder="1"/>
    <xf numFmtId="41" fontId="0" fillId="0" borderId="0" xfId="0" applyNumberFormat="1"/>
    <xf numFmtId="43" fontId="0" fillId="0" borderId="0" xfId="0" applyNumberFormat="1"/>
    <xf numFmtId="43" fontId="0" fillId="0" borderId="4" xfId="1" applyFont="1" applyFill="1" applyBorder="1"/>
    <xf numFmtId="43" fontId="0" fillId="0" borderId="0" xfId="1" applyFont="1"/>
    <xf numFmtId="43" fontId="0" fillId="0" borderId="0" xfId="1" applyFont="1" applyFill="1"/>
    <xf numFmtId="0" fontId="11" fillId="0" borderId="0" xfId="0" applyFont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43" fontId="5" fillId="5" borderId="0" xfId="0" applyNumberFormat="1" applyFont="1" applyFill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43" fontId="0" fillId="0" borderId="3" xfId="1" applyFont="1" applyBorder="1" applyAlignment="1">
      <alignment vertical="center"/>
    </xf>
    <xf numFmtId="9" fontId="5" fillId="5" borderId="0" xfId="2" applyFont="1" applyFill="1"/>
    <xf numFmtId="43" fontId="0" fillId="0" borderId="2" xfId="0" applyNumberFormat="1" applyBorder="1"/>
    <xf numFmtId="0" fontId="0" fillId="0" borderId="2" xfId="0" applyBorder="1"/>
    <xf numFmtId="43" fontId="2" fillId="0" borderId="0" xfId="1" applyFont="1" applyFill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0" xfId="1" applyFont="1" applyFill="1"/>
    <xf numFmtId="43" fontId="2" fillId="0" borderId="0" xfId="1" applyFont="1"/>
    <xf numFmtId="43" fontId="2" fillId="0" borderId="1" xfId="1" applyFont="1" applyFill="1" applyBorder="1"/>
    <xf numFmtId="43" fontId="2" fillId="0" borderId="1" xfId="1" applyFont="1" applyBorder="1"/>
    <xf numFmtId="9" fontId="0" fillId="0" borderId="0" xfId="0" applyNumberFormat="1"/>
    <xf numFmtId="43" fontId="8" fillId="4" borderId="2" xfId="1" applyFon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167" fontId="0" fillId="0" borderId="0" xfId="1" applyNumberFormat="1" applyFont="1" applyFill="1"/>
    <xf numFmtId="167" fontId="5" fillId="0" borderId="0" xfId="1" applyNumberFormat="1" applyFont="1" applyFill="1" applyBorder="1"/>
    <xf numFmtId="167" fontId="2" fillId="3" borderId="2" xfId="1" applyNumberFormat="1" applyFont="1" applyFill="1" applyBorder="1"/>
    <xf numFmtId="167" fontId="2" fillId="0" borderId="2" xfId="1" applyNumberFormat="1" applyFont="1" applyFill="1" applyBorder="1"/>
    <xf numFmtId="167" fontId="2" fillId="0" borderId="2" xfId="1" applyNumberFormat="1" applyFont="1" applyBorder="1"/>
    <xf numFmtId="167" fontId="0" fillId="0" borderId="0" xfId="0" applyNumberFormat="1"/>
    <xf numFmtId="0" fontId="2" fillId="4" borderId="3" xfId="0" applyFont="1" applyFill="1" applyBorder="1" applyAlignment="1">
      <alignment horizontal="right"/>
    </xf>
    <xf numFmtId="167" fontId="2" fillId="4" borderId="2" xfId="1" applyNumberFormat="1" applyFont="1" applyFill="1" applyBorder="1"/>
    <xf numFmtId="43" fontId="2" fillId="4" borderId="4" xfId="1" applyFont="1" applyFill="1" applyBorder="1"/>
    <xf numFmtId="0" fontId="2" fillId="3" borderId="4" xfId="0" applyFont="1" applyFill="1" applyBorder="1"/>
    <xf numFmtId="0" fontId="0" fillId="3" borderId="4" xfId="0" applyFill="1" applyBorder="1"/>
    <xf numFmtId="43" fontId="2" fillId="3" borderId="4" xfId="1" applyFont="1" applyFill="1" applyBorder="1"/>
    <xf numFmtId="0" fontId="9" fillId="3" borderId="2" xfId="0" applyFont="1" applyFill="1" applyBorder="1"/>
    <xf numFmtId="0" fontId="8" fillId="3" borderId="2" xfId="0" applyFont="1" applyFill="1" applyBorder="1" applyAlignment="1">
      <alignment horizontal="right"/>
    </xf>
    <xf numFmtId="43" fontId="8" fillId="3" borderId="2" xfId="1" applyFont="1" applyFill="1" applyBorder="1"/>
    <xf numFmtId="43" fontId="0" fillId="6" borderId="0" xfId="0" applyNumberFormat="1" applyFill="1"/>
    <xf numFmtId="43" fontId="12" fillId="0" borderId="0" xfId="1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1" fontId="0" fillId="0" borderId="0" xfId="3" applyNumberFormat="1" applyFont="1"/>
    <xf numFmtId="168" fontId="2" fillId="0" borderId="0" xfId="3" applyNumberFormat="1" applyFont="1" applyFill="1"/>
    <xf numFmtId="9" fontId="0" fillId="0" borderId="0" xfId="2" applyFont="1" applyAlignment="1">
      <alignment horizontal="center"/>
    </xf>
    <xf numFmtId="43" fontId="0" fillId="0" borderId="5" xfId="1" applyFont="1" applyFill="1" applyBorder="1"/>
    <xf numFmtId="41" fontId="0" fillId="0" borderId="5" xfId="3" applyNumberFormat="1" applyFont="1" applyFill="1" applyBorder="1"/>
    <xf numFmtId="41" fontId="0" fillId="0" borderId="0" xfId="3" applyNumberFormat="1" applyFont="1" applyFill="1"/>
    <xf numFmtId="0" fontId="0" fillId="7" borderId="0" xfId="0" applyFill="1"/>
    <xf numFmtId="43" fontId="0" fillId="7" borderId="0" xfId="1" applyFont="1" applyFill="1"/>
    <xf numFmtId="0" fontId="0" fillId="7" borderId="0" xfId="0" applyFill="1" applyAlignment="1">
      <alignment horizontal="center"/>
    </xf>
    <xf numFmtId="9" fontId="0" fillId="7" borderId="0" xfId="2" applyFont="1" applyFill="1" applyAlignment="1">
      <alignment horizontal="center"/>
    </xf>
    <xf numFmtId="0" fontId="0" fillId="7" borderId="0" xfId="0" applyFill="1" applyAlignment="1">
      <alignment horizontal="left" wrapText="1"/>
    </xf>
    <xf numFmtId="0" fontId="0" fillId="7" borderId="0" xfId="0" applyFill="1" applyAlignment="1">
      <alignment wrapText="1"/>
    </xf>
    <xf numFmtId="0" fontId="3" fillId="7" borderId="0" xfId="0" applyFont="1" applyFill="1" applyAlignment="1">
      <alignment horizontal="left"/>
    </xf>
    <xf numFmtId="9" fontId="2" fillId="0" borderId="0" xfId="2" applyFont="1" applyAlignment="1">
      <alignment horizontal="center"/>
    </xf>
    <xf numFmtId="0" fontId="13" fillId="0" borderId="0" xfId="0" applyFont="1"/>
    <xf numFmtId="0" fontId="14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0" xfId="0" applyFont="1" applyFill="1" applyAlignment="1">
      <alignment horizontal="left" wrapText="1"/>
    </xf>
    <xf numFmtId="0" fontId="5" fillId="7" borderId="0" xfId="0" applyFont="1" applyFill="1" applyAlignment="1">
      <alignment horizontal="center" wrapText="1"/>
    </xf>
    <xf numFmtId="0" fontId="9" fillId="7" borderId="0" xfId="0" applyFont="1" applyFill="1" applyAlignment="1">
      <alignment horizontal="center" vertical="top"/>
    </xf>
    <xf numFmtId="0" fontId="5" fillId="7" borderId="0" xfId="0" applyFont="1" applyFill="1"/>
    <xf numFmtId="0" fontId="16" fillId="7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0" fillId="8" borderId="0" xfId="0" applyFill="1" applyAlignment="1">
      <alignment wrapText="1"/>
    </xf>
    <xf numFmtId="43" fontId="2" fillId="0" borderId="0" xfId="0" applyNumberFormat="1" applyFont="1"/>
    <xf numFmtId="43" fontId="0" fillId="0" borderId="0" xfId="0" applyNumberFormat="1" applyAlignment="1">
      <alignment horizontal="center"/>
    </xf>
    <xf numFmtId="0" fontId="0" fillId="9" borderId="0" xfId="0" applyFill="1" applyAlignment="1">
      <alignment wrapText="1"/>
    </xf>
    <xf numFmtId="0" fontId="17" fillId="0" borderId="0" xfId="0" applyFont="1" applyAlignment="1">
      <alignment wrapText="1"/>
    </xf>
    <xf numFmtId="0" fontId="0" fillId="9" borderId="0" xfId="0" applyFill="1" applyAlignment="1">
      <alignment horizontal="center"/>
    </xf>
    <xf numFmtId="0" fontId="9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wrapText="1"/>
    </xf>
    <xf numFmtId="43" fontId="0" fillId="0" borderId="0" xfId="1" applyFont="1" applyFill="1" applyAlignment="1">
      <alignment wrapText="1"/>
    </xf>
    <xf numFmtId="0" fontId="0" fillId="0" borderId="0" xfId="0" applyAlignment="1">
      <alignment horizontal="center" wrapText="1"/>
    </xf>
    <xf numFmtId="0" fontId="9" fillId="9" borderId="0" xfId="0" applyFont="1" applyFill="1" applyAlignment="1">
      <alignment horizontal="center" vertical="top"/>
    </xf>
    <xf numFmtId="0" fontId="18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43" fontId="2" fillId="0" borderId="3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9" fontId="0" fillId="0" borderId="3" xfId="2" applyFont="1" applyBorder="1" applyAlignment="1">
      <alignment horizontal="center"/>
    </xf>
    <xf numFmtId="44" fontId="0" fillId="0" borderId="0" xfId="0" applyNumberFormat="1"/>
    <xf numFmtId="167" fontId="2" fillId="0" borderId="0" xfId="1" applyNumberFormat="1" applyFont="1"/>
    <xf numFmtId="167" fontId="2" fillId="0" borderId="1" xfId="1" applyNumberFormat="1" applyFont="1" applyBorder="1"/>
    <xf numFmtId="167" fontId="2" fillId="0" borderId="0" xfId="1" applyNumberFormat="1" applyFont="1" applyFill="1" applyBorder="1"/>
    <xf numFmtId="9" fontId="0" fillId="0" borderId="0" xfId="0" applyNumberFormat="1" applyAlignment="1">
      <alignment horizontal="right"/>
    </xf>
    <xf numFmtId="43" fontId="0" fillId="10" borderId="0" xfId="1" applyFont="1" applyFill="1"/>
    <xf numFmtId="43" fontId="12" fillId="10" borderId="0" xfId="1" applyFont="1" applyFill="1" applyBorder="1" applyAlignment="1">
      <alignment horizontal="right" vertical="center"/>
    </xf>
    <xf numFmtId="43" fontId="0" fillId="10" borderId="0" xfId="0" applyNumberFormat="1" applyFill="1"/>
    <xf numFmtId="43" fontId="0" fillId="10" borderId="4" xfId="0" applyNumberFormat="1" applyFill="1" applyBorder="1"/>
    <xf numFmtId="0" fontId="9" fillId="0" borderId="0" xfId="0" applyFont="1" applyAlignment="1">
      <alignment wrapText="1"/>
    </xf>
    <xf numFmtId="0" fontId="9" fillId="0" borderId="0" xfId="0" quotePrefix="1" applyFont="1" applyAlignment="1">
      <alignment horizontal="left" wrapText="1" indent="1"/>
    </xf>
    <xf numFmtId="43" fontId="0" fillId="10" borderId="4" xfId="1" applyFont="1" applyFill="1" applyBorder="1"/>
    <xf numFmtId="0" fontId="2" fillId="7" borderId="0" xfId="0" applyFont="1" applyFill="1" applyAlignment="1">
      <alignment horizontal="right"/>
    </xf>
    <xf numFmtId="168" fontId="2" fillId="10" borderId="2" xfId="0" applyNumberFormat="1" applyFont="1" applyFill="1" applyBorder="1"/>
    <xf numFmtId="168" fontId="0" fillId="0" borderId="0" xfId="0" applyNumberFormat="1"/>
    <xf numFmtId="168" fontId="2" fillId="0" borderId="4" xfId="0" applyNumberFormat="1" applyFont="1" applyBorder="1"/>
    <xf numFmtId="168" fontId="2" fillId="11" borderId="0" xfId="3" applyNumberFormat="1" applyFont="1" applyFill="1"/>
    <xf numFmtId="43" fontId="0" fillId="0" borderId="0" xfId="1" applyFont="1" applyFill="1" applyBorder="1"/>
    <xf numFmtId="167" fontId="0" fillId="0" borderId="0" xfId="1" applyNumberFormat="1" applyFont="1" applyFill="1" applyBorder="1"/>
    <xf numFmtId="41" fontId="9" fillId="0" borderId="0" xfId="3" applyNumberFormat="1" applyFont="1" applyFill="1" applyBorder="1"/>
    <xf numFmtId="167" fontId="2" fillId="0" borderId="0" xfId="1" applyNumberFormat="1" applyFont="1" applyFill="1"/>
    <xf numFmtId="0" fontId="19" fillId="0" borderId="0" xfId="0" applyFont="1"/>
    <xf numFmtId="43" fontId="2" fillId="0" borderId="0" xfId="1" applyFont="1" applyFill="1" applyAlignment="1">
      <alignment horizontal="right"/>
    </xf>
    <xf numFmtId="167" fontId="2" fillId="0" borderId="1" xfId="1" applyNumberFormat="1" applyFont="1" applyFill="1" applyBorder="1"/>
    <xf numFmtId="3" fontId="0" fillId="0" borderId="0" xfId="0" applyNumberFormat="1"/>
    <xf numFmtId="4" fontId="0" fillId="0" borderId="0" xfId="0" applyNumberFormat="1"/>
    <xf numFmtId="167" fontId="2" fillId="0" borderId="0" xfId="0" applyNumberFormat="1" applyFont="1" applyAlignment="1">
      <alignment horizontal="right"/>
    </xf>
    <xf numFmtId="167" fontId="9" fillId="0" borderId="0" xfId="0" applyNumberFormat="1" applyFont="1"/>
    <xf numFmtId="41" fontId="9" fillId="0" borderId="0" xfId="3" applyNumberFormat="1" applyFont="1" applyFill="1"/>
    <xf numFmtId="10" fontId="0" fillId="0" borderId="0" xfId="0" applyNumberFormat="1"/>
    <xf numFmtId="0" fontId="2" fillId="12" borderId="3" xfId="0" applyFont="1" applyFill="1" applyBorder="1" applyAlignment="1">
      <alignment horizontal="right"/>
    </xf>
    <xf numFmtId="0" fontId="0" fillId="12" borderId="0" xfId="0" applyFill="1"/>
    <xf numFmtId="167" fontId="2" fillId="12" borderId="0" xfId="1" applyNumberFormat="1" applyFont="1" applyFill="1"/>
    <xf numFmtId="167" fontId="0" fillId="12" borderId="0" xfId="1" applyNumberFormat="1" applyFont="1" applyFill="1"/>
    <xf numFmtId="167" fontId="2" fillId="12" borderId="1" xfId="1" applyNumberFormat="1" applyFont="1" applyFill="1" applyBorder="1"/>
    <xf numFmtId="43" fontId="0" fillId="12" borderId="0" xfId="1" applyFont="1" applyFill="1"/>
    <xf numFmtId="167" fontId="9" fillId="12" borderId="0" xfId="0" applyNumberFormat="1" applyFont="1" applyFill="1"/>
    <xf numFmtId="167" fontId="2" fillId="12" borderId="2" xfId="1" applyNumberFormat="1" applyFont="1" applyFill="1" applyBorder="1"/>
    <xf numFmtId="0" fontId="2" fillId="0" borderId="0" xfId="0" applyFont="1" applyAlignment="1">
      <alignment horizontal="center"/>
    </xf>
    <xf numFmtId="0" fontId="2" fillId="12" borderId="0" xfId="0" applyFont="1" applyFill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Medium4"/>
  <colors>
    <mruColors>
      <color rgb="FFFFFE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4"/>
  <sheetViews>
    <sheetView showGridLines="0" zoomScale="130" zoomScaleNormal="130" zoomScalePageLayoutView="125" workbookViewId="0">
      <pane xSplit="3" ySplit="4" topLeftCell="H18" activePane="bottomRight" state="frozen"/>
      <selection pane="bottomRight" activeCell="A24" sqref="A24"/>
      <selection pane="bottomLeft" activeCell="A5" sqref="A5"/>
      <selection pane="topRight" activeCell="D1" sqref="D1"/>
    </sheetView>
  </sheetViews>
  <sheetFormatPr defaultColWidth="11" defaultRowHeight="15.95"/>
  <cols>
    <col min="1" max="1" width="4.625" customWidth="1"/>
    <col min="2" max="2" width="34.875" customWidth="1"/>
    <col min="3" max="3" width="3" hidden="1" customWidth="1"/>
    <col min="4" max="6" width="13.875" hidden="1" customWidth="1"/>
    <col min="7" max="7" width="14" hidden="1" customWidth="1"/>
    <col min="8" max="10" width="14" customWidth="1"/>
    <col min="11" max="11" width="13.625" bestFit="1" customWidth="1"/>
    <col min="12" max="12" width="10.875" hidden="1" customWidth="1"/>
    <col min="13" max="46" width="10.875" customWidth="1"/>
  </cols>
  <sheetData>
    <row r="1" spans="1:13" ht="18.95">
      <c r="A1" s="3" t="s">
        <v>0</v>
      </c>
      <c r="I1" s="2" t="s">
        <v>1</v>
      </c>
      <c r="J1" s="9">
        <v>44580</v>
      </c>
    </row>
    <row r="2" spans="1:13">
      <c r="A2" t="s">
        <v>2</v>
      </c>
    </row>
    <row r="3" spans="1:13"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3">
      <c r="D4" s="6" t="s">
        <v>10</v>
      </c>
      <c r="E4" s="6" t="s">
        <v>10</v>
      </c>
      <c r="F4" s="6" t="s">
        <v>10</v>
      </c>
      <c r="G4" s="6" t="s">
        <v>10</v>
      </c>
      <c r="H4" s="55" t="s">
        <v>11</v>
      </c>
      <c r="I4" s="55" t="s">
        <v>11</v>
      </c>
      <c r="J4" s="55" t="s">
        <v>11</v>
      </c>
    </row>
    <row r="5" spans="1:13">
      <c r="D5" s="37"/>
      <c r="E5" s="38"/>
      <c r="F5" s="37"/>
      <c r="G5" s="38"/>
      <c r="H5" s="38"/>
      <c r="I5" s="38"/>
      <c r="J5" s="38"/>
    </row>
    <row r="6" spans="1:13">
      <c r="A6" t="s">
        <v>12</v>
      </c>
      <c r="C6">
        <v>1</v>
      </c>
      <c r="D6" s="39">
        <v>5394082.2699999996</v>
      </c>
      <c r="E6" s="40">
        <f>D42</f>
        <v>3709689.4099999992</v>
      </c>
      <c r="F6" s="39">
        <f>E42</f>
        <v>3665772.8799999994</v>
      </c>
      <c r="G6" s="39">
        <f>F42+0.01</f>
        <v>2020375.01</v>
      </c>
      <c r="H6" s="129">
        <f>G42</f>
        <v>1154154.1779999996</v>
      </c>
      <c r="I6" s="129">
        <f>H42</f>
        <v>357610.50903994951</v>
      </c>
      <c r="J6" s="129">
        <f>I42</f>
        <v>-875437.06065527047</v>
      </c>
      <c r="K6" s="23"/>
      <c r="L6" s="23"/>
      <c r="M6" s="23"/>
    </row>
    <row r="7" spans="1:13">
      <c r="B7" t="s">
        <v>13</v>
      </c>
      <c r="C7">
        <v>2</v>
      </c>
      <c r="D7" s="26">
        <v>-55264.09</v>
      </c>
      <c r="E7" s="25">
        <v>-40793.269999999997</v>
      </c>
      <c r="F7" s="26">
        <v>-32749.83</v>
      </c>
      <c r="G7" s="25">
        <v>-20903.84</v>
      </c>
      <c r="H7" s="48">
        <f>G7+8000</f>
        <v>-12903.84</v>
      </c>
      <c r="I7" s="48">
        <f>H7+8000</f>
        <v>-4903.84</v>
      </c>
      <c r="J7" s="48">
        <f>I7+4903.84</f>
        <v>0</v>
      </c>
      <c r="K7" s="23"/>
      <c r="L7" s="23"/>
      <c r="M7" s="23"/>
    </row>
    <row r="8" spans="1:13">
      <c r="B8" s="1" t="s">
        <v>14</v>
      </c>
      <c r="D8" s="25"/>
      <c r="E8" s="25"/>
      <c r="F8" s="26"/>
      <c r="G8" s="26"/>
      <c r="H8" s="48"/>
      <c r="I8" s="48"/>
      <c r="J8" s="48"/>
      <c r="K8" s="23"/>
      <c r="L8" s="23"/>
      <c r="M8" s="23"/>
    </row>
    <row r="9" spans="1:13">
      <c r="B9" t="s">
        <v>15</v>
      </c>
      <c r="C9">
        <v>3</v>
      </c>
      <c r="D9" s="26">
        <v>-51986.09</v>
      </c>
      <c r="E9" s="25">
        <v>-25064.46</v>
      </c>
      <c r="F9" s="26">
        <f>E9-15000</f>
        <v>-40064.46</v>
      </c>
      <c r="G9" s="26">
        <f>F9-15000</f>
        <v>-55064.46</v>
      </c>
      <c r="H9" s="48">
        <f>G9-15000+64</f>
        <v>-70000.459999999992</v>
      </c>
      <c r="I9" s="48">
        <f>H9</f>
        <v>-70000.459999999992</v>
      </c>
      <c r="J9" s="48">
        <f>I9</f>
        <v>-70000.459999999992</v>
      </c>
      <c r="K9" s="23"/>
      <c r="L9" s="23"/>
      <c r="M9" s="23"/>
    </row>
    <row r="10" spans="1:13">
      <c r="A10" t="s">
        <v>16</v>
      </c>
      <c r="D10" s="41">
        <f t="shared" ref="D10:I10" si="0">SUM(D6:D9)</f>
        <v>5286832.09</v>
      </c>
      <c r="E10" s="42">
        <f t="shared" si="0"/>
        <v>3643831.6799999992</v>
      </c>
      <c r="F10" s="41">
        <f t="shared" si="0"/>
        <v>3592958.5899999994</v>
      </c>
      <c r="G10" s="41">
        <f t="shared" si="0"/>
        <v>1944406.71</v>
      </c>
      <c r="H10" s="130">
        <f t="shared" si="0"/>
        <v>1071249.8779999996</v>
      </c>
      <c r="I10" s="130">
        <f t="shared" si="0"/>
        <v>282706.20903994946</v>
      </c>
      <c r="J10" s="130">
        <f t="shared" ref="J10" si="1">SUM(J6:J9)</f>
        <v>-945437.52065527043</v>
      </c>
      <c r="K10" s="23"/>
      <c r="L10" s="23"/>
      <c r="M10" s="23"/>
    </row>
    <row r="11" spans="1:13">
      <c r="D11" s="26"/>
      <c r="E11" s="25"/>
      <c r="F11" s="26"/>
      <c r="G11" s="26"/>
      <c r="H11" s="25"/>
      <c r="I11" s="25"/>
      <c r="J11" s="25"/>
      <c r="K11" s="23"/>
      <c r="L11" s="23"/>
      <c r="M11" s="23"/>
    </row>
    <row r="12" spans="1:13" hidden="1">
      <c r="D12" s="26"/>
      <c r="E12" s="25"/>
      <c r="F12" s="26"/>
      <c r="G12" s="26"/>
      <c r="H12" s="25"/>
      <c r="I12" s="25"/>
      <c r="J12" s="25"/>
      <c r="K12" s="23"/>
      <c r="L12" s="23"/>
      <c r="M12" s="23"/>
    </row>
    <row r="13" spans="1:13" hidden="1">
      <c r="A13" t="s">
        <v>17</v>
      </c>
      <c r="C13">
        <v>5</v>
      </c>
      <c r="D13" s="26">
        <v>-135066.29</v>
      </c>
      <c r="E13" s="25">
        <v>5664.92</v>
      </c>
      <c r="F13" s="26">
        <v>-68973.63</v>
      </c>
      <c r="G13" s="26">
        <v>-3806.5</v>
      </c>
      <c r="H13" s="26">
        <v>0</v>
      </c>
      <c r="I13" s="26">
        <v>0</v>
      </c>
      <c r="J13" s="26">
        <v>0</v>
      </c>
      <c r="K13" s="23"/>
      <c r="L13" s="23"/>
      <c r="M13" s="23"/>
    </row>
    <row r="14" spans="1:13" hidden="1">
      <c r="A14" t="s">
        <v>18</v>
      </c>
      <c r="C14">
        <v>6</v>
      </c>
      <c r="D14" s="48">
        <v>0</v>
      </c>
      <c r="E14" s="48">
        <v>-106299.7</v>
      </c>
      <c r="F14" s="49">
        <v>-125779.39</v>
      </c>
      <c r="G14" s="49">
        <v>-230984.39</v>
      </c>
      <c r="H14" s="49">
        <v>0</v>
      </c>
      <c r="I14" s="49">
        <v>0</v>
      </c>
      <c r="J14" s="49">
        <v>0</v>
      </c>
      <c r="K14" s="23"/>
      <c r="L14" s="23"/>
      <c r="M14" s="23"/>
    </row>
    <row r="15" spans="1:13" hidden="1">
      <c r="D15" s="49"/>
      <c r="E15" s="48"/>
      <c r="F15" s="49"/>
      <c r="G15" s="49"/>
      <c r="H15" s="49"/>
      <c r="I15" s="49"/>
      <c r="J15" s="49"/>
      <c r="K15" s="23"/>
      <c r="L15" s="23"/>
      <c r="M15" s="23"/>
    </row>
    <row r="16" spans="1:13">
      <c r="A16" t="s">
        <v>19</v>
      </c>
      <c r="C16">
        <v>7</v>
      </c>
      <c r="D16" s="49">
        <v>1151081.7699999998</v>
      </c>
      <c r="E16" s="49">
        <v>1072112.8</v>
      </c>
      <c r="F16" s="49">
        <f>729143.83+169675.77</f>
        <v>898819.6</v>
      </c>
      <c r="G16" s="49">
        <f>299359.42+72623.82+43936.83</f>
        <v>415920.07</v>
      </c>
      <c r="H16" s="49">
        <f>450000-27987</f>
        <v>422013</v>
      </c>
      <c r="I16" s="49">
        <v>400000</v>
      </c>
      <c r="J16" s="49">
        <v>400000</v>
      </c>
    </row>
    <row r="17" spans="1:11">
      <c r="A17" t="s">
        <v>20</v>
      </c>
      <c r="C17">
        <v>9</v>
      </c>
      <c r="D17" s="49">
        <v>-11806.439999999999</v>
      </c>
      <c r="E17" s="49">
        <v>-11301.699999999999</v>
      </c>
      <c r="F17" s="49">
        <v>-12063.84</v>
      </c>
      <c r="G17" s="49">
        <f>-(10053.02+1914.33)</f>
        <v>-11967.35</v>
      </c>
      <c r="H17" s="49">
        <f>G17+(G17*5%)</f>
        <v>-12565.717500000001</v>
      </c>
      <c r="I17" s="49">
        <f>H17+(H17*5%)</f>
        <v>-13194.003375</v>
      </c>
      <c r="J17" s="49">
        <f>I17+(I17*5%)</f>
        <v>-13853.70354375</v>
      </c>
    </row>
    <row r="18" spans="1:11">
      <c r="A18" t="s">
        <v>21</v>
      </c>
      <c r="C18">
        <v>13</v>
      </c>
      <c r="D18" s="49">
        <v>-16373.01</v>
      </c>
      <c r="E18" s="49">
        <v>-66113.87</v>
      </c>
      <c r="F18" s="49">
        <v>-15215.68</v>
      </c>
      <c r="G18" s="49">
        <v>-97505.49</v>
      </c>
      <c r="H18" s="49">
        <v>-50000</v>
      </c>
      <c r="I18" s="49">
        <v>-50000</v>
      </c>
      <c r="J18" s="49">
        <v>-50000</v>
      </c>
    </row>
    <row r="19" spans="1:11">
      <c r="A19" t="s">
        <v>22</v>
      </c>
      <c r="C19">
        <v>10</v>
      </c>
      <c r="D19" s="49">
        <v>-64592.2</v>
      </c>
      <c r="E19" s="49">
        <v>-58152.38</v>
      </c>
      <c r="F19" s="49">
        <f>E19-F69</f>
        <v>-556910.18000000005</v>
      </c>
      <c r="G19" s="49">
        <f>'CF Funded Positions'!E46</f>
        <v>-577603.7919999999</v>
      </c>
      <c r="H19" s="49">
        <f>'CF Funded Positions'!F46-H20</f>
        <v>-537168.09475445002</v>
      </c>
      <c r="I19" s="49">
        <f>'CF Funded Positions'!G46-I20</f>
        <v>-611877.53950889991</v>
      </c>
      <c r="J19" s="49">
        <f>'CF Funded Positions'!H46-J20</f>
        <v>-611877.53950890002</v>
      </c>
    </row>
    <row r="20" spans="1:11">
      <c r="A20" t="s">
        <v>23</v>
      </c>
      <c r="D20" s="49">
        <v>0</v>
      </c>
      <c r="E20" s="49">
        <v>0</v>
      </c>
      <c r="F20" s="49">
        <v>0</v>
      </c>
      <c r="G20" s="49">
        <v>0</v>
      </c>
      <c r="H20" s="49">
        <f>'CF Funded Positions'!F41</f>
        <v>-255918.5567056</v>
      </c>
      <c r="I20" s="49">
        <f>'CF Funded Positions'!G41</f>
        <v>-403071.72681132</v>
      </c>
      <c r="J20" s="49">
        <f>'CF Funded Positions'!H41</f>
        <v>-423225.31315188599</v>
      </c>
      <c r="K20" s="22"/>
    </row>
    <row r="21" spans="1:11">
      <c r="A21" t="s">
        <v>24</v>
      </c>
      <c r="C21">
        <v>16</v>
      </c>
      <c r="D21" s="49">
        <v>113805.83</v>
      </c>
      <c r="E21" s="49">
        <v>40235.53</v>
      </c>
      <c r="F21" s="49">
        <v>18355.25</v>
      </c>
      <c r="G21" s="49">
        <v>36443.589999999997</v>
      </c>
      <c r="H21" s="49">
        <v>50000</v>
      </c>
      <c r="I21" s="49">
        <v>50000</v>
      </c>
      <c r="J21" s="49">
        <v>50000</v>
      </c>
      <c r="K21" s="23"/>
    </row>
    <row r="22" spans="1:11">
      <c r="D22" s="49"/>
      <c r="E22" s="49"/>
      <c r="F22" s="49"/>
      <c r="G22" s="49"/>
      <c r="H22" s="49"/>
      <c r="I22" s="49"/>
      <c r="J22" s="49"/>
      <c r="K22" s="23"/>
    </row>
    <row r="23" spans="1:11" hidden="1">
      <c r="A23" t="s">
        <v>25</v>
      </c>
      <c r="C23">
        <v>14</v>
      </c>
      <c r="D23" s="49">
        <f>-751928-49873.55</f>
        <v>-801801.55</v>
      </c>
      <c r="E23" s="49">
        <f>-758497</f>
        <v>-758497</v>
      </c>
      <c r="F23" s="49">
        <v>-775387</v>
      </c>
      <c r="G23" s="49">
        <f>26584-25574-219696-337962-505903+287164</f>
        <v>-775387</v>
      </c>
      <c r="H23" s="49">
        <v>0</v>
      </c>
      <c r="I23" s="49">
        <v>0</v>
      </c>
      <c r="J23" s="49">
        <v>0</v>
      </c>
      <c r="K23" s="22"/>
    </row>
    <row r="24" spans="1:11">
      <c r="A24" t="s">
        <v>26</v>
      </c>
      <c r="C24">
        <v>15</v>
      </c>
      <c r="D24" s="49">
        <v>-603000</v>
      </c>
      <c r="E24" s="49">
        <v>-603000</v>
      </c>
      <c r="F24" s="49">
        <v>-603000</v>
      </c>
      <c r="G24" s="49">
        <v>-603000</v>
      </c>
      <c r="H24" s="49">
        <v>-1000000</v>
      </c>
      <c r="I24" s="49">
        <v>-1000000</v>
      </c>
      <c r="J24" s="49">
        <v>-1000000</v>
      </c>
      <c r="K24" s="22"/>
    </row>
    <row r="25" spans="1:11">
      <c r="A25" t="s">
        <v>27</v>
      </c>
      <c r="D25" s="49">
        <f>-548080.91+49873.55+105179.62</f>
        <v>-393027.74000000005</v>
      </c>
      <c r="E25" s="49">
        <f>-487417.78+74998.96</f>
        <v>-412418.82</v>
      </c>
      <c r="F25" s="49">
        <f>-526701+68024.91</f>
        <v>-458676.08999999997</v>
      </c>
      <c r="G25" s="49">
        <f>-400000-61843.09</f>
        <v>-461843.08999999997</v>
      </c>
      <c r="H25" s="49">
        <v>0</v>
      </c>
      <c r="I25" s="49">
        <v>0</v>
      </c>
      <c r="J25" s="49">
        <v>0</v>
      </c>
      <c r="K25" s="5"/>
    </row>
    <row r="26" spans="1:11">
      <c r="A26" t="s">
        <v>28</v>
      </c>
      <c r="D26" s="49">
        <v>-105179.62</v>
      </c>
      <c r="E26" s="49">
        <v>-74998.960000000006</v>
      </c>
      <c r="F26" s="49">
        <v>-68024.91</v>
      </c>
      <c r="G26" s="49">
        <v>0</v>
      </c>
      <c r="H26" s="49">
        <v>0</v>
      </c>
      <c r="I26" s="49">
        <v>0</v>
      </c>
      <c r="J26" s="49">
        <v>0</v>
      </c>
      <c r="K26" s="22"/>
    </row>
    <row r="27" spans="1:11">
      <c r="A27" t="s">
        <v>29</v>
      </c>
      <c r="C27">
        <v>17</v>
      </c>
      <c r="D27" s="49">
        <v>0</v>
      </c>
      <c r="E27" s="49">
        <v>0</v>
      </c>
      <c r="F27" s="49">
        <v>-699206.14</v>
      </c>
      <c r="G27" s="49">
        <v>270409</v>
      </c>
      <c r="H27" s="49">
        <v>0</v>
      </c>
      <c r="I27" s="49">
        <v>0</v>
      </c>
      <c r="J27" s="49">
        <v>0</v>
      </c>
    </row>
    <row r="28" spans="1:11">
      <c r="D28" s="48"/>
      <c r="E28" s="48"/>
      <c r="F28" s="49"/>
      <c r="G28" s="49"/>
      <c r="H28" s="49"/>
      <c r="I28" s="49"/>
      <c r="J28" s="49"/>
      <c r="K28" s="22"/>
    </row>
    <row r="29" spans="1:11">
      <c r="A29" t="s">
        <v>30</v>
      </c>
      <c r="D29" s="49">
        <v>411374.44</v>
      </c>
      <c r="E29" s="49">
        <v>1065687.1100000001</v>
      </c>
      <c r="F29" s="50">
        <v>933703.12000000034</v>
      </c>
      <c r="G29" s="49">
        <f>1154154.45+133436.48+43954.69</f>
        <v>1331545.6199999999</v>
      </c>
      <c r="H29" s="49">
        <v>700000</v>
      </c>
      <c r="I29" s="49">
        <v>500000</v>
      </c>
      <c r="J29" s="49">
        <v>500000</v>
      </c>
      <c r="K29" s="23"/>
    </row>
    <row r="30" spans="1:11" hidden="1">
      <c r="A30" t="s">
        <v>31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</row>
    <row r="31" spans="1:11" hidden="1">
      <c r="D31" s="49"/>
      <c r="E31" s="49"/>
      <c r="F31" s="50"/>
      <c r="G31" s="50"/>
      <c r="H31" s="50"/>
      <c r="I31" s="49"/>
      <c r="J31" s="49"/>
    </row>
    <row r="32" spans="1:11" hidden="1">
      <c r="D32" s="49"/>
      <c r="E32" s="48"/>
      <c r="F32" s="49"/>
      <c r="G32" s="49"/>
      <c r="H32" s="49"/>
      <c r="I32" s="49"/>
      <c r="J32" s="49"/>
    </row>
    <row r="33" spans="1:13" hidden="1">
      <c r="A33" t="s">
        <v>32</v>
      </c>
      <c r="D33" s="49">
        <v>-1000000</v>
      </c>
      <c r="E33" s="48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L33" s="5"/>
    </row>
    <row r="34" spans="1:13">
      <c r="D34" s="49"/>
      <c r="E34" s="48"/>
      <c r="F34" s="49"/>
      <c r="G34" s="49"/>
      <c r="H34" s="49"/>
      <c r="I34" s="49"/>
      <c r="J34" s="49"/>
    </row>
    <row r="35" spans="1:13">
      <c r="A35" t="s">
        <v>33</v>
      </c>
      <c r="D35" s="49"/>
      <c r="E35" s="48"/>
      <c r="F35" s="49"/>
      <c r="G35" s="49"/>
      <c r="H35" s="49"/>
      <c r="I35" s="49"/>
      <c r="J35" s="49"/>
    </row>
    <row r="36" spans="1:13">
      <c r="A36" t="s">
        <v>34</v>
      </c>
      <c r="C36">
        <v>8</v>
      </c>
      <c r="D36" s="49">
        <v>-40000</v>
      </c>
      <c r="E36" s="48">
        <v>-23500</v>
      </c>
      <c r="F36" s="49">
        <v>-25224.7</v>
      </c>
      <c r="G36" s="49">
        <v>-27924.7</v>
      </c>
      <c r="H36" s="49">
        <v>-30000</v>
      </c>
      <c r="I36" s="49">
        <v>-30000</v>
      </c>
      <c r="J36" s="49">
        <v>-30000</v>
      </c>
    </row>
    <row r="37" spans="1:13" hidden="1">
      <c r="A37" t="s">
        <v>35</v>
      </c>
      <c r="D37" s="49">
        <f>35838.75-5630.62</f>
        <v>30208.13</v>
      </c>
      <c r="E37" s="48">
        <v>39498.46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</row>
    <row r="38" spans="1:13" hidden="1">
      <c r="A38" t="s">
        <v>36</v>
      </c>
      <c r="C38">
        <v>11</v>
      </c>
      <c r="D38" s="49">
        <v>-15000</v>
      </c>
      <c r="E38" s="48">
        <v>-15000</v>
      </c>
      <c r="F38" s="49">
        <v>-15000</v>
      </c>
      <c r="G38" s="49">
        <v>-15000</v>
      </c>
      <c r="H38" s="49">
        <v>0</v>
      </c>
      <c r="I38" s="49">
        <v>0</v>
      </c>
      <c r="J38" s="49">
        <v>0</v>
      </c>
    </row>
    <row r="39" spans="1:13" hidden="1">
      <c r="A39" t="s">
        <v>37</v>
      </c>
      <c r="D39" s="49">
        <v>-97766</v>
      </c>
      <c r="E39" s="48">
        <v>-71975.19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</row>
    <row r="40" spans="1:13" hidden="1">
      <c r="A40" t="s">
        <v>38</v>
      </c>
      <c r="D40" s="49">
        <v>0</v>
      </c>
      <c r="E40" s="49">
        <v>0</v>
      </c>
      <c r="F40" s="49">
        <v>0</v>
      </c>
      <c r="G40" s="49">
        <v>-39548.5</v>
      </c>
      <c r="H40" s="49">
        <v>0</v>
      </c>
      <c r="I40" s="49">
        <v>0</v>
      </c>
      <c r="J40" s="49">
        <v>0</v>
      </c>
    </row>
    <row r="41" spans="1:13">
      <c r="D41" s="49"/>
      <c r="E41" s="48"/>
      <c r="F41" s="49"/>
      <c r="G41" s="49"/>
      <c r="H41" s="49"/>
      <c r="I41" s="49"/>
      <c r="J41" s="49"/>
    </row>
    <row r="42" spans="1:13" ht="17.100000000000001" thickBot="1">
      <c r="A42" t="s">
        <v>39</v>
      </c>
      <c r="D42" s="51">
        <f t="shared" ref="D42:I42" si="2">SUM(D10:D40)</f>
        <v>3709689.4099999992</v>
      </c>
      <c r="E42" s="51">
        <f t="shared" si="2"/>
        <v>3665772.8799999994</v>
      </c>
      <c r="F42" s="51">
        <f t="shared" si="2"/>
        <v>2020375</v>
      </c>
      <c r="G42" s="51">
        <f t="shared" si="2"/>
        <v>1154154.1779999996</v>
      </c>
      <c r="H42" s="56">
        <f t="shared" si="2"/>
        <v>357610.50903994951</v>
      </c>
      <c r="I42" s="56">
        <f t="shared" si="2"/>
        <v>-875437.06065527047</v>
      </c>
      <c r="J42" s="56">
        <f t="shared" ref="J42" si="3">SUM(J10:J40)</f>
        <v>-2124394.0768598067</v>
      </c>
      <c r="M42" s="54"/>
    </row>
    <row r="43" spans="1:13" ht="17.100000000000001" thickTop="1">
      <c r="D43" s="49"/>
      <c r="E43" s="48"/>
      <c r="F43" s="49"/>
      <c r="G43" s="49"/>
      <c r="H43" s="49"/>
      <c r="I43" s="49"/>
      <c r="J43" s="49"/>
    </row>
    <row r="44" spans="1:13">
      <c r="B44" t="s">
        <v>40</v>
      </c>
      <c r="D44" s="49">
        <v>-1500000</v>
      </c>
      <c r="E44" s="48">
        <v>-1500000</v>
      </c>
      <c r="F44" s="49">
        <v>-1500000</v>
      </c>
      <c r="G44" s="49">
        <v>0</v>
      </c>
      <c r="H44" s="49">
        <v>0</v>
      </c>
      <c r="I44" s="49">
        <v>0</v>
      </c>
      <c r="J44" s="49">
        <v>0</v>
      </c>
    </row>
    <row r="45" spans="1:13">
      <c r="D45" s="49"/>
      <c r="E45" s="48"/>
      <c r="F45" s="49"/>
      <c r="G45" s="49"/>
      <c r="H45" s="49"/>
      <c r="I45" s="49"/>
      <c r="J45" s="49"/>
    </row>
    <row r="46" spans="1:13" ht="17.100000000000001" thickBot="1">
      <c r="A46" t="s">
        <v>41</v>
      </c>
      <c r="D46" s="52">
        <f t="shared" ref="D46:I46" si="4">SUM(D42:D44)</f>
        <v>2209689.4099999992</v>
      </c>
      <c r="E46" s="53">
        <f t="shared" si="4"/>
        <v>2165772.8799999994</v>
      </c>
      <c r="F46" s="52">
        <f t="shared" si="4"/>
        <v>520375</v>
      </c>
      <c r="G46" s="52">
        <f t="shared" si="4"/>
        <v>1154154.1779999996</v>
      </c>
      <c r="H46" s="52">
        <f t="shared" si="4"/>
        <v>357610.50903994951</v>
      </c>
      <c r="I46" s="52">
        <f t="shared" si="4"/>
        <v>-875437.06065527047</v>
      </c>
      <c r="J46" s="52">
        <f t="shared" ref="J46" si="5">SUM(J42:J44)</f>
        <v>-2124394.0768598067</v>
      </c>
    </row>
    <row r="47" spans="1:13" ht="17.100000000000001" thickTop="1">
      <c r="D47" s="25"/>
      <c r="E47" s="25"/>
      <c r="F47" s="26"/>
      <c r="G47" s="26"/>
      <c r="H47" s="26"/>
      <c r="I47" s="26"/>
    </row>
    <row r="49" spans="1:23">
      <c r="F49" s="5"/>
      <c r="G49" s="23"/>
    </row>
    <row r="50" spans="1:23" hidden="1">
      <c r="G50" s="23"/>
    </row>
    <row r="51" spans="1:23" hidden="1">
      <c r="A51" s="13" t="s">
        <v>42</v>
      </c>
      <c r="B51" s="12"/>
      <c r="C51" s="12"/>
      <c r="D51" s="12"/>
      <c r="E51" s="14" t="str">
        <f>E3</f>
        <v>FY 18-19</v>
      </c>
      <c r="F51" s="14" t="str">
        <f>F3</f>
        <v>FY 19-20</v>
      </c>
      <c r="G51" s="23"/>
      <c r="H51" s="14" t="str">
        <f>H3</f>
        <v>FY 2021-22</v>
      </c>
      <c r="I51" s="14" t="str">
        <f>I3</f>
        <v>FY 2022-23</v>
      </c>
      <c r="L51" s="13" t="s">
        <v>43</v>
      </c>
      <c r="M51" s="11"/>
      <c r="N51" s="11"/>
      <c r="O51" s="11"/>
      <c r="P51" s="11"/>
      <c r="Q51" s="11"/>
      <c r="R51" s="11"/>
      <c r="S51" s="11"/>
      <c r="T51" s="12"/>
    </row>
    <row r="52" spans="1:23" hidden="1">
      <c r="A52" s="8"/>
      <c r="G52" s="23"/>
    </row>
    <row r="53" spans="1:23" hidden="1">
      <c r="A53" s="8" t="s">
        <v>44</v>
      </c>
      <c r="G53" s="23"/>
    </row>
    <row r="54" spans="1:23" hidden="1">
      <c r="A54" t="s">
        <v>45</v>
      </c>
      <c r="F54" s="5">
        <v>49676</v>
      </c>
      <c r="G54" s="23"/>
      <c r="H54" s="5">
        <v>49676</v>
      </c>
      <c r="I54" s="5">
        <v>49676</v>
      </c>
      <c r="L54" t="s">
        <v>46</v>
      </c>
    </row>
    <row r="55" spans="1:23" hidden="1">
      <c r="A55" t="s">
        <v>47</v>
      </c>
      <c r="D55" t="s">
        <v>48</v>
      </c>
      <c r="F55" s="5">
        <v>0</v>
      </c>
      <c r="G55" s="23"/>
      <c r="H55" s="5">
        <v>29067.869999999995</v>
      </c>
      <c r="I55" s="5">
        <v>29067.869999999995</v>
      </c>
      <c r="L55" t="s">
        <v>49</v>
      </c>
    </row>
    <row r="56" spans="1:23" hidden="1">
      <c r="A56" t="s">
        <v>50</v>
      </c>
      <c r="C56">
        <v>10</v>
      </c>
      <c r="D56" t="s">
        <v>51</v>
      </c>
      <c r="E56" s="4"/>
      <c r="F56" s="5">
        <v>27080.3</v>
      </c>
      <c r="G56" s="23"/>
      <c r="H56" s="5">
        <v>93872.88</v>
      </c>
      <c r="I56" s="5">
        <v>93872.88</v>
      </c>
      <c r="L56" t="s">
        <v>52</v>
      </c>
    </row>
    <row r="57" spans="1:23" hidden="1">
      <c r="A57" t="s">
        <v>53</v>
      </c>
      <c r="D57" t="s">
        <v>54</v>
      </c>
      <c r="E57" s="5"/>
      <c r="F57" s="5">
        <v>0</v>
      </c>
      <c r="G57" s="23"/>
      <c r="H57" s="5">
        <f>36676.79-12621.48</f>
        <v>24055.31</v>
      </c>
      <c r="I57" s="5">
        <f>36676.79-12621.48</f>
        <v>24055.31</v>
      </c>
      <c r="L57" t="s">
        <v>55</v>
      </c>
      <c r="W57" t="s">
        <v>56</v>
      </c>
    </row>
    <row r="58" spans="1:23" hidden="1">
      <c r="A58" t="s">
        <v>57</v>
      </c>
      <c r="C58">
        <v>10</v>
      </c>
      <c r="D58" t="s">
        <v>58</v>
      </c>
      <c r="E58" s="5"/>
      <c r="F58" s="5">
        <v>126526.97</v>
      </c>
      <c r="G58" s="23"/>
      <c r="H58" s="5">
        <v>164478.78</v>
      </c>
      <c r="I58" s="5">
        <v>164478.78</v>
      </c>
      <c r="L58" t="s">
        <v>59</v>
      </c>
    </row>
    <row r="59" spans="1:23" hidden="1">
      <c r="A59" t="s">
        <v>60</v>
      </c>
      <c r="D59" s="5" t="s">
        <v>61</v>
      </c>
      <c r="E59" s="5"/>
      <c r="F59" s="5">
        <f>134526.99+35148.78</f>
        <v>169675.77</v>
      </c>
      <c r="G59" s="23"/>
      <c r="H59" s="5"/>
      <c r="I59" s="5"/>
      <c r="L59" t="s">
        <v>62</v>
      </c>
    </row>
    <row r="60" spans="1:23" hidden="1">
      <c r="A60" t="s">
        <v>63</v>
      </c>
      <c r="D60" t="s">
        <v>64</v>
      </c>
      <c r="E60" s="5"/>
      <c r="F60" s="5">
        <v>4798.76</v>
      </c>
      <c r="G60" s="23"/>
      <c r="H60" s="5"/>
      <c r="I60" s="5"/>
      <c r="L60" t="s">
        <v>65</v>
      </c>
    </row>
    <row r="61" spans="1:23" hidden="1">
      <c r="G61" s="23"/>
    </row>
    <row r="62" spans="1:23" hidden="1">
      <c r="A62" t="s">
        <v>66</v>
      </c>
      <c r="C62">
        <v>10</v>
      </c>
      <c r="E62" s="5"/>
      <c r="F62" s="5">
        <v>121000</v>
      </c>
      <c r="G62" s="23"/>
      <c r="H62" s="5">
        <v>96000</v>
      </c>
      <c r="I62" s="5"/>
      <c r="L62" s="5"/>
    </row>
    <row r="63" spans="1:23" hidden="1">
      <c r="E63" s="5"/>
      <c r="F63" s="5"/>
      <c r="G63" s="23"/>
      <c r="H63" s="5"/>
      <c r="I63" s="5"/>
      <c r="L63" s="5"/>
    </row>
    <row r="64" spans="1:23" hidden="1">
      <c r="A64" s="8" t="s">
        <v>6</v>
      </c>
      <c r="E64" s="5"/>
      <c r="F64" s="5"/>
      <c r="G64" s="23"/>
      <c r="H64" s="5"/>
      <c r="I64" s="5"/>
      <c r="L64" s="5"/>
    </row>
    <row r="65" spans="1:12" hidden="1">
      <c r="A65" t="s">
        <v>67</v>
      </c>
      <c r="E65" s="5"/>
      <c r="F65" s="5"/>
      <c r="G65" s="23"/>
      <c r="H65" s="5"/>
      <c r="I65" s="5"/>
      <c r="L65" s="5"/>
    </row>
    <row r="66" spans="1:12" hidden="1">
      <c r="A66" t="s">
        <v>68</v>
      </c>
      <c r="E66" s="5"/>
      <c r="F66" s="5"/>
      <c r="G66" s="23"/>
      <c r="H66" s="5"/>
      <c r="I66" s="5"/>
      <c r="L66" s="5"/>
    </row>
    <row r="67" spans="1:12" hidden="1">
      <c r="A67" t="s">
        <v>69</v>
      </c>
      <c r="E67" s="5"/>
      <c r="F67" s="5"/>
      <c r="G67" s="23"/>
      <c r="H67" s="5"/>
      <c r="I67" s="5"/>
      <c r="L67" s="5"/>
    </row>
    <row r="68" spans="1:12" hidden="1">
      <c r="E68" s="5"/>
      <c r="F68" s="5"/>
      <c r="G68" s="23"/>
      <c r="H68" s="5"/>
      <c r="I68" s="5"/>
      <c r="L68" s="5"/>
    </row>
    <row r="69" spans="1:12" ht="17.100000000000001" hidden="1" thickBot="1">
      <c r="A69" t="s">
        <v>70</v>
      </c>
      <c r="F69" s="10">
        <f>SUM(F53:F68)</f>
        <v>498757.80000000005</v>
      </c>
      <c r="G69" s="23"/>
      <c r="H69" s="10">
        <f>SUM(H53:H68)</f>
        <v>457150.83999999997</v>
      </c>
      <c r="I69" s="10">
        <f>SUM(I53:I68)</f>
        <v>361150.83999999997</v>
      </c>
      <c r="L69" s="5"/>
    </row>
    <row r="70" spans="1:12" hidden="1">
      <c r="F70" s="5"/>
      <c r="G70" s="23"/>
      <c r="L70" s="5"/>
    </row>
    <row r="71" spans="1:12" hidden="1">
      <c r="D71" s="5"/>
      <c r="F71" s="5"/>
      <c r="G71" s="23"/>
      <c r="L71" s="5"/>
    </row>
    <row r="72" spans="1:12" hidden="1">
      <c r="A72" s="7" t="s">
        <v>71</v>
      </c>
      <c r="B72" t="s">
        <v>72</v>
      </c>
      <c r="F72" s="5"/>
      <c r="G72" s="23"/>
      <c r="L72" s="5"/>
    </row>
    <row r="73" spans="1:12" hidden="1">
      <c r="F73" s="5"/>
      <c r="G73" s="23"/>
      <c r="L73" s="5"/>
    </row>
    <row r="74" spans="1:12">
      <c r="F74" s="5"/>
      <c r="G74" s="23"/>
    </row>
    <row r="75" spans="1:12" hidden="1">
      <c r="F75" s="5">
        <v>2020375</v>
      </c>
      <c r="G75" s="23"/>
    </row>
    <row r="76" spans="1:12" hidden="1">
      <c r="F76" s="5">
        <f>F42</f>
        <v>2020375</v>
      </c>
      <c r="G76" s="23"/>
    </row>
    <row r="77" spans="1:12" hidden="1">
      <c r="F77" s="15">
        <f>F75-F76</f>
        <v>0</v>
      </c>
      <c r="G77" s="23"/>
    </row>
    <row r="78" spans="1:12">
      <c r="F78" s="5"/>
      <c r="G78" s="23"/>
    </row>
    <row r="79" spans="1:12">
      <c r="F79" s="5"/>
      <c r="G79" s="23"/>
    </row>
    <row r="80" spans="1:12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</sheetData>
  <phoneticPr fontId="1" type="noConversion"/>
  <printOptions horizontalCentered="1"/>
  <pageMargins left="0.7" right="0.7" top="0.75" bottom="0.75" header="0.5" footer="0.5"/>
  <pageSetup scale="6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DA41-EE1E-4E4B-9DC5-F520719ECBF2}">
  <sheetPr>
    <pageSetUpPr fitToPage="1"/>
  </sheetPr>
  <dimension ref="A2:AB49"/>
  <sheetViews>
    <sheetView showGridLines="0" zoomScale="130" zoomScaleNormal="130" zoomScalePageLayoutView="125" workbookViewId="0">
      <pane xSplit="2" ySplit="1" topLeftCell="G13" activePane="bottomRight" state="frozen"/>
      <selection pane="bottomRight" activeCell="G32" sqref="G32"/>
      <selection pane="bottomLeft" activeCell="A5" sqref="A5"/>
      <selection pane="topRight" activeCell="D1" sqref="D1"/>
    </sheetView>
  </sheetViews>
  <sheetFormatPr defaultColWidth="11" defaultRowHeight="15.95"/>
  <cols>
    <col min="1" max="1" width="14.5" customWidth="1"/>
    <col min="2" max="2" width="34.875" customWidth="1"/>
    <col min="3" max="3" width="13.875" hidden="1" customWidth="1"/>
    <col min="4" max="4" width="16.5" hidden="1" customWidth="1"/>
    <col min="5" max="5" width="14.125" hidden="1" customWidth="1"/>
    <col min="6" max="8" width="14.125" customWidth="1"/>
    <col min="9" max="12" width="14.125" hidden="1" customWidth="1"/>
    <col min="13" max="24" width="10.875" hidden="1" customWidth="1"/>
    <col min="25" max="25" width="10.875" customWidth="1"/>
    <col min="26" max="26" width="12.375" hidden="1" customWidth="1"/>
    <col min="27" max="28" width="12.375" customWidth="1"/>
    <col min="29" max="30" width="10.875" customWidth="1"/>
  </cols>
  <sheetData>
    <row r="2" spans="1:12">
      <c r="A2" s="8" t="s">
        <v>73</v>
      </c>
      <c r="D2" s="2"/>
      <c r="E2" s="2"/>
    </row>
    <row r="3" spans="1:12">
      <c r="A3" s="8"/>
      <c r="E3" s="2" t="s">
        <v>74</v>
      </c>
      <c r="F3" s="2" t="s">
        <v>75</v>
      </c>
      <c r="G3" s="2" t="s">
        <v>76</v>
      </c>
      <c r="H3" s="2" t="s">
        <v>77</v>
      </c>
    </row>
    <row r="4" spans="1:12">
      <c r="A4" s="58" t="s">
        <v>78</v>
      </c>
      <c r="B4" s="59"/>
      <c r="C4" s="59"/>
      <c r="D4" s="59"/>
      <c r="E4" s="60">
        <v>22369.97</v>
      </c>
      <c r="F4" s="57">
        <v>22369.97</v>
      </c>
      <c r="G4" s="57">
        <v>22369.97</v>
      </c>
      <c r="H4" s="57">
        <v>22369.97</v>
      </c>
      <c r="I4" s="64">
        <f>E4</f>
        <v>22369.97</v>
      </c>
    </row>
    <row r="5" spans="1:12" ht="8.1" customHeight="1">
      <c r="A5" s="21"/>
      <c r="B5" s="20"/>
      <c r="C5" s="20"/>
      <c r="D5" s="20"/>
      <c r="E5" s="24"/>
      <c r="F5" s="24"/>
      <c r="G5" s="139"/>
      <c r="H5" s="24"/>
      <c r="L5" s="25"/>
    </row>
    <row r="6" spans="1:12">
      <c r="A6" s="16" t="s">
        <v>79</v>
      </c>
      <c r="E6" s="26"/>
      <c r="F6" s="26"/>
      <c r="G6" s="133"/>
      <c r="H6" s="26"/>
      <c r="L6" s="25"/>
    </row>
    <row r="7" spans="1:12" ht="8.1" customHeight="1">
      <c r="A7" s="8"/>
      <c r="E7" s="26"/>
      <c r="F7" s="26"/>
      <c r="G7" s="133"/>
      <c r="H7" s="26"/>
      <c r="L7" s="25"/>
    </row>
    <row r="8" spans="1:12">
      <c r="A8" s="19" t="s">
        <v>80</v>
      </c>
      <c r="E8" s="26"/>
      <c r="F8" s="26"/>
      <c r="G8" s="133"/>
      <c r="H8" s="26"/>
      <c r="L8" s="25"/>
    </row>
    <row r="9" spans="1:12">
      <c r="A9" s="17" t="s">
        <v>81</v>
      </c>
      <c r="C9" t="s">
        <v>82</v>
      </c>
      <c r="E9" s="26">
        <v>5381.08</v>
      </c>
      <c r="F9" s="26">
        <v>5381.08</v>
      </c>
      <c r="G9" s="133">
        <f>F9</f>
        <v>5381.08</v>
      </c>
      <c r="H9" s="26">
        <f>G9</f>
        <v>5381.08</v>
      </c>
      <c r="L9" s="25"/>
    </row>
    <row r="10" spans="1:12">
      <c r="A10" s="17" t="s">
        <v>83</v>
      </c>
      <c r="E10" s="26">
        <v>-60922.270000000004</v>
      </c>
      <c r="F10" s="26">
        <v>-60922.270000000004</v>
      </c>
      <c r="G10" s="133">
        <v>-60922.270000000004</v>
      </c>
      <c r="H10" s="26">
        <v>-60922.270000000004</v>
      </c>
      <c r="L10" s="25"/>
    </row>
    <row r="11" spans="1:12">
      <c r="A11" s="17" t="s">
        <v>84</v>
      </c>
      <c r="C11" t="s">
        <v>85</v>
      </c>
      <c r="E11" s="26">
        <v>-10630.34</v>
      </c>
      <c r="F11" s="26">
        <v>-10630.34</v>
      </c>
      <c r="G11" s="133">
        <v>-10630.34</v>
      </c>
      <c r="H11" s="26">
        <v>-10630.34</v>
      </c>
      <c r="L11" s="25"/>
    </row>
    <row r="12" spans="1:12">
      <c r="A12" s="17" t="s">
        <v>86</v>
      </c>
      <c r="C12" t="s">
        <v>87</v>
      </c>
      <c r="E12" s="26">
        <v>-20790.64</v>
      </c>
      <c r="F12" s="26">
        <v>-20790.64</v>
      </c>
      <c r="G12" s="133">
        <v>-20790.64</v>
      </c>
      <c r="H12" s="26">
        <v>-20790.64</v>
      </c>
      <c r="I12" s="64">
        <f>SUM(E4:E12)</f>
        <v>-64592.2</v>
      </c>
      <c r="L12" s="25"/>
    </row>
    <row r="13" spans="1:12" ht="6.95" customHeight="1">
      <c r="A13" s="17"/>
      <c r="E13" s="26"/>
      <c r="F13" s="26"/>
      <c r="G13" s="133"/>
      <c r="H13" s="26"/>
      <c r="L13" s="25"/>
    </row>
    <row r="14" spans="1:12">
      <c r="A14" s="19" t="s">
        <v>88</v>
      </c>
      <c r="E14" s="26"/>
      <c r="F14" s="26"/>
      <c r="G14" s="133"/>
      <c r="H14" s="26"/>
      <c r="L14" s="25"/>
    </row>
    <row r="15" spans="1:12">
      <c r="A15" s="17" t="s">
        <v>89</v>
      </c>
      <c r="C15" t="s">
        <v>87</v>
      </c>
      <c r="E15" s="26">
        <v>6439.82</v>
      </c>
      <c r="F15" s="26">
        <v>6439.82</v>
      </c>
      <c r="G15" s="133">
        <f>F15</f>
        <v>6439.82</v>
      </c>
      <c r="H15" s="26">
        <f>G15</f>
        <v>6439.82</v>
      </c>
      <c r="K15" s="46"/>
      <c r="L15" s="25"/>
    </row>
    <row r="16" spans="1:12">
      <c r="A16" s="17" t="s">
        <v>90</v>
      </c>
      <c r="C16" t="s">
        <v>91</v>
      </c>
      <c r="E16" s="26">
        <v>41529.81</v>
      </c>
      <c r="F16" s="26">
        <v>41529.81</v>
      </c>
      <c r="G16" s="133">
        <v>41529.81</v>
      </c>
      <c r="H16" s="26">
        <v>41529.81</v>
      </c>
      <c r="K16" s="46"/>
      <c r="L16" s="25"/>
    </row>
    <row r="17" spans="1:27">
      <c r="A17" s="17" t="s">
        <v>92</v>
      </c>
      <c r="C17" t="s">
        <v>91</v>
      </c>
      <c r="E17" s="26">
        <v>-41529.81</v>
      </c>
      <c r="F17" s="26">
        <v>-41529.81</v>
      </c>
      <c r="G17" s="133">
        <v>-41529.81</v>
      </c>
      <c r="H17" s="26">
        <v>-41529.81</v>
      </c>
      <c r="I17" s="64">
        <f>SUM(E4:E17)</f>
        <v>-58152.38</v>
      </c>
      <c r="L17" s="25"/>
    </row>
    <row r="18" spans="1:27" ht="8.1" customHeight="1">
      <c r="A18" s="17"/>
      <c r="E18" s="26"/>
      <c r="F18" s="26"/>
      <c r="G18" s="133"/>
      <c r="H18" s="26"/>
      <c r="K18" s="47"/>
      <c r="L18" s="25"/>
    </row>
    <row r="19" spans="1:27">
      <c r="A19" s="19" t="s">
        <v>93</v>
      </c>
      <c r="E19" s="26"/>
      <c r="F19" s="26"/>
      <c r="G19" s="133"/>
      <c r="H19" s="26"/>
      <c r="J19" t="s">
        <v>94</v>
      </c>
      <c r="K19" s="47"/>
      <c r="L19" s="25"/>
    </row>
    <row r="20" spans="1:27">
      <c r="A20" s="17" t="s">
        <v>95</v>
      </c>
      <c r="E20" s="26">
        <v>-49676</v>
      </c>
      <c r="F20" s="26">
        <v>-49676</v>
      </c>
      <c r="G20" s="133">
        <v>-49676</v>
      </c>
      <c r="H20" s="26">
        <v>-49676</v>
      </c>
      <c r="I20" s="64">
        <f>SUM(E4:E20)</f>
        <v>-107828.38</v>
      </c>
      <c r="J20" t="s">
        <v>96</v>
      </c>
      <c r="K20" s="47"/>
      <c r="L20" s="25"/>
      <c r="Z20" t="s">
        <v>97</v>
      </c>
    </row>
    <row r="21" spans="1:27" ht="8.1" customHeight="1">
      <c r="A21" s="17"/>
      <c r="E21" s="26"/>
      <c r="F21" s="26"/>
      <c r="G21" s="133"/>
      <c r="H21" s="26"/>
      <c r="K21" s="47"/>
      <c r="L21" s="25"/>
    </row>
    <row r="22" spans="1:27">
      <c r="A22" s="19" t="s">
        <v>98</v>
      </c>
      <c r="D22" s="18"/>
      <c r="E22" s="26"/>
      <c r="F22" s="26"/>
      <c r="G22" s="133"/>
      <c r="H22" s="26"/>
      <c r="K22" s="47"/>
      <c r="L22" s="25"/>
    </row>
    <row r="23" spans="1:27">
      <c r="A23" s="17" t="s">
        <v>99</v>
      </c>
      <c r="C23" t="s">
        <v>54</v>
      </c>
      <c r="D23" s="18"/>
      <c r="E23" s="26">
        <f>-38229.96+0.38</f>
        <v>-38229.58</v>
      </c>
      <c r="F23" s="26">
        <f>-38229.96+0.38</f>
        <v>-38229.58</v>
      </c>
      <c r="G23" s="133">
        <f>-38229.96+0.38</f>
        <v>-38229.58</v>
      </c>
      <c r="H23" s="26">
        <f>-38229.96+0.38</f>
        <v>-38229.58</v>
      </c>
      <c r="L23" s="25"/>
      <c r="Z23" s="135">
        <f>G23+G24+G42</f>
        <v>-175026.98950890001</v>
      </c>
    </row>
    <row r="24" spans="1:27">
      <c r="A24" s="17" t="s">
        <v>100</v>
      </c>
      <c r="D24" s="18"/>
      <c r="E24" s="26">
        <v>12621.48</v>
      </c>
      <c r="F24" s="26">
        <v>12621.48</v>
      </c>
      <c r="G24" s="133">
        <v>12621.48</v>
      </c>
      <c r="H24" s="26">
        <v>12621.48</v>
      </c>
      <c r="L24" s="25"/>
      <c r="AA24" t="s">
        <v>101</v>
      </c>
    </row>
    <row r="25" spans="1:27">
      <c r="A25" s="17" t="s">
        <v>102</v>
      </c>
      <c r="C25" s="5" t="s">
        <v>103</v>
      </c>
      <c r="D25" s="5"/>
      <c r="E25" s="65">
        <v>-44375.3</v>
      </c>
      <c r="F25" s="65">
        <v>-43255.5</v>
      </c>
      <c r="G25" s="134">
        <v>-43255.5</v>
      </c>
      <c r="H25" s="65">
        <v>-43255.5</v>
      </c>
      <c r="J25" t="s">
        <v>104</v>
      </c>
      <c r="L25" s="25"/>
      <c r="AA25" s="23">
        <f>G23+G32+G42</f>
        <v>-349551.61950889998</v>
      </c>
    </row>
    <row r="26" spans="1:27">
      <c r="A26" s="17" t="s">
        <v>105</v>
      </c>
      <c r="C26" s="5" t="s">
        <v>103</v>
      </c>
      <c r="D26" s="5"/>
      <c r="E26" s="65">
        <v>6050.4</v>
      </c>
      <c r="F26" s="65">
        <v>6050.4</v>
      </c>
      <c r="G26" s="133">
        <f>F26</f>
        <v>6050.4</v>
      </c>
      <c r="H26" s="26">
        <f>G26</f>
        <v>6050.4</v>
      </c>
      <c r="J26" t="s">
        <v>104</v>
      </c>
      <c r="L26" s="25"/>
    </row>
    <row r="27" spans="1:27">
      <c r="A27" s="17" t="s">
        <v>106</v>
      </c>
      <c r="C27" s="5" t="s">
        <v>107</v>
      </c>
      <c r="D27" s="5"/>
      <c r="E27" s="65">
        <v>-5611.93</v>
      </c>
      <c r="F27" s="65">
        <v>-11880.08</v>
      </c>
      <c r="G27" s="134">
        <v>-11880.08</v>
      </c>
      <c r="H27" s="65">
        <v>-11880.08</v>
      </c>
      <c r="J27" t="s">
        <v>104</v>
      </c>
      <c r="L27" s="25"/>
      <c r="Z27" s="135">
        <f>G12+G25+G26+G27</f>
        <v>-69875.819999999992</v>
      </c>
    </row>
    <row r="28" spans="1:27" hidden="1">
      <c r="A28" s="17" t="s">
        <v>45</v>
      </c>
      <c r="C28" t="s">
        <v>108</v>
      </c>
      <c r="E28" s="26">
        <v>0</v>
      </c>
      <c r="F28" s="26">
        <v>0</v>
      </c>
      <c r="G28" s="133">
        <v>0</v>
      </c>
      <c r="H28" s="26">
        <v>0</v>
      </c>
      <c r="J28" s="23"/>
      <c r="L28" s="25"/>
    </row>
    <row r="29" spans="1:27" hidden="1">
      <c r="A29" s="17" t="s">
        <v>47</v>
      </c>
      <c r="C29" t="s">
        <v>48</v>
      </c>
      <c r="E29" s="26">
        <v>0</v>
      </c>
      <c r="F29" s="26">
        <v>0</v>
      </c>
      <c r="G29" s="133">
        <v>0</v>
      </c>
      <c r="H29" s="26">
        <v>0</v>
      </c>
      <c r="L29" s="25"/>
    </row>
    <row r="30" spans="1:27">
      <c r="A30" s="17" t="s">
        <v>50</v>
      </c>
      <c r="C30" t="s">
        <v>51</v>
      </c>
      <c r="D30" s="4"/>
      <c r="E30" s="26">
        <v>-72623.820000000007</v>
      </c>
      <c r="F30" s="26">
        <v>-118033.84</v>
      </c>
      <c r="G30" s="133">
        <v>-118033.84</v>
      </c>
      <c r="H30" s="26">
        <v>-118033.84</v>
      </c>
      <c r="I30" t="s">
        <v>109</v>
      </c>
      <c r="K30" t="s">
        <v>110</v>
      </c>
      <c r="L30" s="25"/>
      <c r="M30" t="s">
        <v>104</v>
      </c>
    </row>
    <row r="31" spans="1:27">
      <c r="A31" s="17"/>
      <c r="D31" s="5"/>
      <c r="E31" s="26"/>
      <c r="F31" s="26"/>
      <c r="G31" s="133"/>
      <c r="H31" s="26"/>
      <c r="J31" s="23"/>
      <c r="L31" s="25"/>
    </row>
    <row r="32" spans="1:27">
      <c r="A32" s="17" t="s">
        <v>57</v>
      </c>
      <c r="C32" t="s">
        <v>58</v>
      </c>
      <c r="D32" s="5"/>
      <c r="E32" s="26">
        <f>-(26055.48+104221.59)</f>
        <v>-130277.06999999999</v>
      </c>
      <c r="F32" s="26">
        <v>-161903.15</v>
      </c>
      <c r="G32" s="133">
        <v>-161903.15</v>
      </c>
      <c r="H32" s="26">
        <v>-161903.15</v>
      </c>
      <c r="I32" s="23" t="s">
        <v>111</v>
      </c>
      <c r="J32" s="23"/>
      <c r="L32" s="25"/>
      <c r="Z32" s="135">
        <f>G32</f>
        <v>-161903.15</v>
      </c>
    </row>
    <row r="33" spans="1:28" hidden="1">
      <c r="A33" s="17" t="s">
        <v>112</v>
      </c>
      <c r="C33" s="5" t="s">
        <v>113</v>
      </c>
      <c r="D33" s="5"/>
      <c r="E33" s="26">
        <v>-134527.03</v>
      </c>
      <c r="F33" s="26">
        <v>0</v>
      </c>
      <c r="G33" s="133">
        <v>0</v>
      </c>
      <c r="H33" s="26">
        <v>0</v>
      </c>
      <c r="I33" s="23"/>
      <c r="K33" t="s">
        <v>114</v>
      </c>
      <c r="L33" s="25"/>
    </row>
    <row r="34" spans="1:28" ht="8.1" hidden="1" customHeight="1">
      <c r="D34" s="5"/>
      <c r="E34" s="26"/>
      <c r="F34" s="26"/>
      <c r="G34" s="133"/>
      <c r="H34" s="25"/>
      <c r="L34" s="25"/>
    </row>
    <row r="35" spans="1:28" hidden="1">
      <c r="A35" s="16" t="s">
        <v>115</v>
      </c>
      <c r="D35" s="5"/>
      <c r="E35" s="26"/>
      <c r="F35" s="26"/>
      <c r="G35" s="133"/>
      <c r="H35" s="25"/>
      <c r="K35" t="s">
        <v>116</v>
      </c>
      <c r="L35" s="25"/>
    </row>
    <row r="36" spans="1:28" hidden="1">
      <c r="A36" t="s">
        <v>117</v>
      </c>
      <c r="D36" s="5"/>
      <c r="E36" s="26">
        <v>-18345.232</v>
      </c>
      <c r="F36" s="26">
        <v>0</v>
      </c>
      <c r="G36" s="133">
        <v>0</v>
      </c>
      <c r="H36" s="25">
        <v>0</v>
      </c>
      <c r="K36" t="s">
        <v>118</v>
      </c>
      <c r="L36" s="25"/>
    </row>
    <row r="37" spans="1:28" hidden="1">
      <c r="A37" t="s">
        <v>119</v>
      </c>
      <c r="D37" s="5"/>
      <c r="E37" s="26">
        <v>-21169.536</v>
      </c>
      <c r="F37" s="26">
        <v>0</v>
      </c>
      <c r="G37" s="133">
        <v>0</v>
      </c>
      <c r="H37" s="25">
        <v>0</v>
      </c>
      <c r="K37" s="23"/>
      <c r="L37" s="25"/>
    </row>
    <row r="38" spans="1:28" hidden="1">
      <c r="A38" t="s">
        <v>120</v>
      </c>
      <c r="D38" s="5"/>
      <c r="E38" s="26">
        <v>-23287.793999999998</v>
      </c>
      <c r="F38" s="26">
        <v>0</v>
      </c>
      <c r="G38" s="133">
        <v>0</v>
      </c>
      <c r="H38" s="25">
        <v>0</v>
      </c>
      <c r="L38" s="25"/>
    </row>
    <row r="39" spans="1:28" ht="8.1" customHeight="1">
      <c r="D39" s="5"/>
      <c r="E39" s="26"/>
      <c r="F39" s="26"/>
      <c r="G39" s="133"/>
      <c r="H39" s="25"/>
      <c r="L39" s="25"/>
    </row>
    <row r="40" spans="1:28">
      <c r="A40" s="19" t="s">
        <v>121</v>
      </c>
      <c r="D40" s="5"/>
      <c r="E40" s="26"/>
      <c r="F40" s="26"/>
      <c r="G40" s="133"/>
      <c r="H40" s="25"/>
      <c r="L40" s="25"/>
    </row>
    <row r="41" spans="1:28">
      <c r="A41" s="17" t="s">
        <v>122</v>
      </c>
      <c r="D41" s="5"/>
      <c r="E41" s="26">
        <v>0</v>
      </c>
      <c r="F41" s="26">
        <f>-'Bookstore Staff 2021-22'!M10</f>
        <v>-255918.5567056</v>
      </c>
      <c r="G41" s="133">
        <f>-'Bookstore Staff 2021-22'!M12</f>
        <v>-403071.72681132</v>
      </c>
      <c r="H41" s="26">
        <f>-'Bookstore Staff 2021-22'!M13</f>
        <v>-423225.31315188599</v>
      </c>
      <c r="L41" s="25"/>
      <c r="Z41" s="136">
        <f>SUM(Z26:Z32)</f>
        <v>-231778.96999999997</v>
      </c>
    </row>
    <row r="42" spans="1:28">
      <c r="A42" s="17" t="s">
        <v>123</v>
      </c>
      <c r="D42" s="5"/>
      <c r="E42" s="26">
        <v>0</v>
      </c>
      <c r="F42" s="26">
        <f>-(106646.27+(106646.27*0.40107))/2</f>
        <v>-74709.44475445</v>
      </c>
      <c r="G42" s="133">
        <f>-(106646.27+(106646.27*0.40107))</f>
        <v>-149418.8895089</v>
      </c>
      <c r="H42" s="26">
        <f>-(106646.27+(106646.27*0.40107))</f>
        <v>-149418.8895089</v>
      </c>
      <c r="J42" s="23"/>
      <c r="L42" s="25"/>
    </row>
    <row r="43" spans="1:28" hidden="1">
      <c r="A43" s="17" t="s">
        <v>124</v>
      </c>
      <c r="D43" s="5"/>
      <c r="E43" s="26">
        <v>0</v>
      </c>
      <c r="F43" s="26">
        <v>0</v>
      </c>
      <c r="G43" s="133">
        <v>0</v>
      </c>
      <c r="H43" s="25">
        <v>0</v>
      </c>
      <c r="L43" s="25"/>
    </row>
    <row r="44" spans="1:28" hidden="1">
      <c r="D44" s="5"/>
      <c r="E44" s="26"/>
      <c r="F44" s="26"/>
      <c r="G44" s="133"/>
      <c r="H44" s="25"/>
      <c r="L44" s="25"/>
    </row>
    <row r="45" spans="1:28" ht="8.1" customHeight="1">
      <c r="D45" s="5"/>
      <c r="E45" s="26"/>
      <c r="F45" s="26"/>
      <c r="G45" s="133"/>
      <c r="H45" s="25"/>
      <c r="L45" s="25"/>
    </row>
    <row r="46" spans="1:28" ht="17.100000000000001" thickBot="1">
      <c r="A46" s="61"/>
      <c r="B46" s="62" t="s">
        <v>125</v>
      </c>
      <c r="C46" s="61"/>
      <c r="D46" s="62"/>
      <c r="E46" s="63">
        <f>SUM(E4:E45)</f>
        <v>-577603.7919999999</v>
      </c>
      <c r="F46" s="44">
        <f>SUM(F4:F45)</f>
        <v>-793086.65146005002</v>
      </c>
      <c r="G46" s="44">
        <f>SUM(G4:G45)</f>
        <v>-1014949.26632022</v>
      </c>
      <c r="H46" s="44">
        <f>SUM(H4:H45)</f>
        <v>-1035102.852660786</v>
      </c>
      <c r="L46" s="25"/>
      <c r="Z46" s="23"/>
      <c r="AA46" s="23"/>
      <c r="AB46" s="23"/>
    </row>
    <row r="47" spans="1:28" ht="17.100000000000001" thickTop="1">
      <c r="G47" s="5"/>
      <c r="H47" s="5"/>
      <c r="L47" s="5"/>
    </row>
    <row r="48" spans="1:28">
      <c r="C48" s="5"/>
      <c r="G48" s="5"/>
      <c r="H48" s="5"/>
      <c r="L48" s="5"/>
    </row>
    <row r="49" spans="1:5">
      <c r="A49" s="27"/>
      <c r="E49" s="5"/>
    </row>
  </sheetData>
  <printOptions horizontalCentered="1"/>
  <pageMargins left="0.7" right="0.7" top="0.75" bottom="0.75" header="0.5" footer="0.5"/>
  <pageSetup scale="6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5132-1EBF-7945-A36A-9164DDECAEB8}">
  <dimension ref="A1:AK138"/>
  <sheetViews>
    <sheetView showGridLines="0" topLeftCell="C99" zoomScale="130" zoomScaleNormal="130" workbookViewId="0">
      <selection activeCell="Y113" sqref="Y113"/>
    </sheetView>
  </sheetViews>
  <sheetFormatPr defaultColWidth="11" defaultRowHeight="15.95"/>
  <cols>
    <col min="1" max="2" width="0" style="45" hidden="1" customWidth="1"/>
    <col min="3" max="3" width="11" style="45"/>
    <col min="4" max="4" width="26.125" customWidth="1"/>
    <col min="5" max="5" width="18.5" style="67" customWidth="1"/>
    <col min="6" max="6" width="43.5" style="67" hidden="1" customWidth="1"/>
    <col min="7" max="7" width="30.875" style="66" hidden="1" customWidth="1"/>
    <col min="8" max="8" width="13.875" hidden="1" customWidth="1"/>
    <col min="9" max="12" width="11" style="45" hidden="1" customWidth="1"/>
    <col min="13" max="13" width="29.125" hidden="1" customWidth="1"/>
    <col min="14" max="14" width="11" style="45" hidden="1" customWidth="1"/>
    <col min="15" max="15" width="31.375" hidden="1" customWidth="1"/>
    <col min="16" max="17" width="11" style="45" hidden="1" customWidth="1"/>
    <col min="18" max="18" width="9.875" style="45" customWidth="1"/>
    <col min="19" max="19" width="11" style="45" hidden="1" customWidth="1"/>
    <col min="20" max="20" width="15.875" style="25" hidden="1" customWidth="1"/>
    <col min="21" max="21" width="11.5" hidden="1" customWidth="1"/>
    <col min="22" max="24" width="11" hidden="1" customWidth="1"/>
    <col min="25" max="25" width="16.625" customWidth="1"/>
    <col min="26" max="26" width="11" customWidth="1"/>
    <col min="27" max="29" width="12.5" bestFit="1" customWidth="1"/>
    <col min="30" max="35" width="11" customWidth="1"/>
    <col min="36" max="36" width="11" hidden="1" customWidth="1"/>
    <col min="37" max="37" width="12.625" hidden="1" customWidth="1"/>
  </cols>
  <sheetData>
    <row r="1" spans="1:22" s="13" customFormat="1" ht="17.100000000000001" hidden="1">
      <c r="A1" s="114" t="s">
        <v>126</v>
      </c>
      <c r="B1" s="114" t="s">
        <v>127</v>
      </c>
      <c r="C1" s="114" t="s">
        <v>128</v>
      </c>
      <c r="D1" s="13" t="s">
        <v>129</v>
      </c>
      <c r="E1" s="116" t="s">
        <v>130</v>
      </c>
      <c r="F1" s="116" t="s">
        <v>131</v>
      </c>
      <c r="G1" s="115" t="s">
        <v>132</v>
      </c>
      <c r="H1" s="114"/>
      <c r="I1" s="114" t="s">
        <v>133</v>
      </c>
      <c r="J1" s="114" t="s">
        <v>134</v>
      </c>
      <c r="K1" s="114" t="s">
        <v>135</v>
      </c>
      <c r="L1" s="114" t="s">
        <v>136</v>
      </c>
      <c r="M1" s="13" t="s">
        <v>137</v>
      </c>
      <c r="N1" s="114" t="s">
        <v>138</v>
      </c>
      <c r="O1" s="13" t="s">
        <v>139</v>
      </c>
      <c r="P1" s="114" t="s">
        <v>140</v>
      </c>
      <c r="Q1" s="114" t="s">
        <v>141</v>
      </c>
      <c r="R1" s="114" t="s">
        <v>142</v>
      </c>
      <c r="S1" s="114" t="s">
        <v>143</v>
      </c>
      <c r="T1" s="113" t="s">
        <v>144</v>
      </c>
      <c r="U1" s="13" t="s">
        <v>145</v>
      </c>
      <c r="V1" s="13" t="s">
        <v>146</v>
      </c>
    </row>
    <row r="2" spans="1:22" s="8" customFormat="1" ht="18.95" hidden="1">
      <c r="A2" s="109" t="s">
        <v>147</v>
      </c>
      <c r="B2" s="18"/>
      <c r="C2" s="18"/>
      <c r="E2" s="112"/>
      <c r="F2" s="112"/>
      <c r="G2" s="111"/>
      <c r="H2" s="18"/>
      <c r="I2" s="18"/>
      <c r="J2" s="18"/>
      <c r="K2" s="18"/>
      <c r="L2" s="18"/>
      <c r="N2" s="18"/>
      <c r="P2" s="18"/>
      <c r="Q2" s="18"/>
      <c r="R2" s="18"/>
      <c r="S2" s="18"/>
      <c r="T2" s="110"/>
    </row>
    <row r="3" spans="1:22" hidden="1">
      <c r="A3" s="45" t="s">
        <v>148</v>
      </c>
      <c r="B3" s="45" t="s">
        <v>149</v>
      </c>
      <c r="C3" s="45">
        <v>213314</v>
      </c>
      <c r="D3" t="s">
        <v>150</v>
      </c>
      <c r="I3" s="45">
        <v>610</v>
      </c>
      <c r="J3" s="45" t="s">
        <v>149</v>
      </c>
      <c r="K3" s="45">
        <v>240117</v>
      </c>
      <c r="L3" s="45">
        <v>114000</v>
      </c>
      <c r="M3" t="s">
        <v>151</v>
      </c>
      <c r="N3" s="45">
        <v>233004</v>
      </c>
      <c r="O3" t="s">
        <v>152</v>
      </c>
      <c r="P3" s="45">
        <v>1210</v>
      </c>
      <c r="Q3" s="45">
        <v>50200</v>
      </c>
      <c r="R3" s="45">
        <v>100</v>
      </c>
      <c r="S3" s="45">
        <v>100</v>
      </c>
      <c r="T3" s="25">
        <v>0</v>
      </c>
      <c r="U3">
        <v>210012</v>
      </c>
      <c r="V3" t="s">
        <v>153</v>
      </c>
    </row>
    <row r="4" spans="1:22" hidden="1">
      <c r="A4" s="45" t="s">
        <v>148</v>
      </c>
      <c r="B4" s="45" t="s">
        <v>154</v>
      </c>
      <c r="C4" s="45">
        <v>230035</v>
      </c>
      <c r="D4" t="s">
        <v>155</v>
      </c>
      <c r="I4" s="45">
        <v>470</v>
      </c>
      <c r="J4" s="45" t="s">
        <v>154</v>
      </c>
      <c r="L4" s="45">
        <v>114000</v>
      </c>
      <c r="M4" t="s">
        <v>151</v>
      </c>
      <c r="N4" s="45">
        <v>237002</v>
      </c>
      <c r="O4" t="s">
        <v>156</v>
      </c>
      <c r="P4" s="45">
        <v>2220</v>
      </c>
      <c r="Q4" s="45">
        <v>40100</v>
      </c>
      <c r="R4" s="45">
        <v>100</v>
      </c>
      <c r="S4" s="45">
        <v>100</v>
      </c>
      <c r="T4" s="25">
        <v>52965.82</v>
      </c>
      <c r="U4">
        <v>210038</v>
      </c>
      <c r="V4" t="s">
        <v>157</v>
      </c>
    </row>
    <row r="5" spans="1:22" hidden="1">
      <c r="A5" s="45" t="s">
        <v>148</v>
      </c>
      <c r="B5" s="45" t="s">
        <v>154</v>
      </c>
      <c r="C5" s="45">
        <v>230164</v>
      </c>
      <c r="D5" t="s">
        <v>158</v>
      </c>
      <c r="I5" s="45">
        <v>470</v>
      </c>
      <c r="J5" s="45" t="s">
        <v>154</v>
      </c>
      <c r="K5" s="45">
        <v>240148</v>
      </c>
      <c r="L5" s="45">
        <v>114000</v>
      </c>
      <c r="M5" t="s">
        <v>151</v>
      </c>
      <c r="N5" s="45">
        <v>237003</v>
      </c>
      <c r="O5" t="s">
        <v>159</v>
      </c>
      <c r="P5" s="45">
        <v>2170</v>
      </c>
      <c r="Q5" s="45">
        <v>120800</v>
      </c>
      <c r="R5" s="45">
        <v>100</v>
      </c>
      <c r="S5" s="45">
        <v>100</v>
      </c>
      <c r="T5" s="25">
        <v>24014.38</v>
      </c>
      <c r="U5">
        <v>210038</v>
      </c>
      <c r="V5" t="s">
        <v>157</v>
      </c>
    </row>
    <row r="6" spans="1:22" hidden="1">
      <c r="A6" s="45" t="s">
        <v>148</v>
      </c>
      <c r="B6" s="45" t="s">
        <v>154</v>
      </c>
      <c r="C6" s="45">
        <v>230174</v>
      </c>
      <c r="D6" t="s">
        <v>160</v>
      </c>
      <c r="I6" s="45">
        <v>500</v>
      </c>
      <c r="J6" s="45" t="s">
        <v>154</v>
      </c>
      <c r="L6" s="45">
        <v>114000</v>
      </c>
      <c r="M6" t="s">
        <v>151</v>
      </c>
      <c r="N6" s="45">
        <v>226001</v>
      </c>
      <c r="O6" t="s">
        <v>161</v>
      </c>
      <c r="P6" s="45">
        <v>2220</v>
      </c>
      <c r="Q6" s="45">
        <v>83500</v>
      </c>
      <c r="R6" s="45">
        <v>100</v>
      </c>
      <c r="S6" s="45">
        <v>100</v>
      </c>
      <c r="T6" s="25">
        <v>66352</v>
      </c>
      <c r="U6">
        <v>210025</v>
      </c>
      <c r="V6" t="s">
        <v>162</v>
      </c>
    </row>
    <row r="7" spans="1:22" hidden="1">
      <c r="A7" s="45" t="s">
        <v>148</v>
      </c>
      <c r="B7" s="45" t="s">
        <v>154</v>
      </c>
      <c r="C7" s="45">
        <v>230735</v>
      </c>
      <c r="D7" t="s">
        <v>163</v>
      </c>
      <c r="I7" s="45">
        <v>490</v>
      </c>
      <c r="J7" s="45" t="s">
        <v>154</v>
      </c>
      <c r="L7" s="45">
        <v>114000</v>
      </c>
      <c r="M7" t="s">
        <v>151</v>
      </c>
      <c r="N7" s="45">
        <v>232028</v>
      </c>
      <c r="O7" t="s">
        <v>164</v>
      </c>
      <c r="P7" s="45">
        <v>2170</v>
      </c>
      <c r="Q7" s="45">
        <v>493009</v>
      </c>
      <c r="R7" s="45">
        <v>100</v>
      </c>
      <c r="S7" s="45">
        <v>100</v>
      </c>
      <c r="T7" s="25">
        <v>58744.58</v>
      </c>
      <c r="U7">
        <v>220275</v>
      </c>
      <c r="V7" t="s">
        <v>165</v>
      </c>
    </row>
    <row r="8" spans="1:22" hidden="1">
      <c r="A8" s="45" t="s">
        <v>148</v>
      </c>
      <c r="B8" s="45" t="s">
        <v>154</v>
      </c>
      <c r="C8" s="45">
        <v>230975</v>
      </c>
      <c r="D8" t="s">
        <v>166</v>
      </c>
      <c r="I8" s="45">
        <v>470</v>
      </c>
      <c r="J8" s="45" t="s">
        <v>154</v>
      </c>
      <c r="L8" s="45">
        <v>114000</v>
      </c>
      <c r="M8" t="s">
        <v>151</v>
      </c>
      <c r="N8" s="45">
        <v>235002</v>
      </c>
      <c r="O8" t="s">
        <v>167</v>
      </c>
      <c r="P8" s="45">
        <v>2220</v>
      </c>
      <c r="Q8" s="45">
        <v>190500</v>
      </c>
      <c r="R8" s="45">
        <v>100</v>
      </c>
      <c r="S8" s="45">
        <v>100</v>
      </c>
      <c r="T8" s="25">
        <v>52965.82</v>
      </c>
      <c r="U8">
        <v>210008</v>
      </c>
      <c r="V8" t="s">
        <v>168</v>
      </c>
    </row>
    <row r="9" spans="1:22" hidden="1">
      <c r="A9" s="45" t="s">
        <v>148</v>
      </c>
      <c r="B9" s="45" t="s">
        <v>169</v>
      </c>
      <c r="C9" s="45">
        <v>234897</v>
      </c>
      <c r="D9" t="s">
        <v>170</v>
      </c>
      <c r="I9" s="45">
        <v>460</v>
      </c>
      <c r="J9" s="45" t="s">
        <v>169</v>
      </c>
      <c r="L9" s="45">
        <v>114000</v>
      </c>
      <c r="M9" t="s">
        <v>151</v>
      </c>
      <c r="N9" s="45">
        <v>236503</v>
      </c>
      <c r="O9" t="s">
        <v>171</v>
      </c>
      <c r="P9" s="45">
        <v>2175</v>
      </c>
      <c r="Q9" s="45">
        <v>94800</v>
      </c>
      <c r="R9" s="45">
        <v>100</v>
      </c>
      <c r="S9" s="45">
        <v>100</v>
      </c>
      <c r="T9" s="25">
        <v>20683.68</v>
      </c>
      <c r="U9">
        <v>210021</v>
      </c>
      <c r="V9" t="s">
        <v>172</v>
      </c>
    </row>
    <row r="10" spans="1:22" hidden="1">
      <c r="A10" s="45" t="s">
        <v>148</v>
      </c>
      <c r="B10" s="45" t="s">
        <v>173</v>
      </c>
      <c r="C10" s="45">
        <v>230509</v>
      </c>
      <c r="D10" t="s">
        <v>174</v>
      </c>
      <c r="I10" s="45">
        <v>350</v>
      </c>
      <c r="J10" s="45" t="s">
        <v>173</v>
      </c>
      <c r="L10" s="45">
        <v>114000</v>
      </c>
      <c r="M10" t="s">
        <v>151</v>
      </c>
      <c r="N10" s="45">
        <v>211003</v>
      </c>
      <c r="O10" t="s">
        <v>175</v>
      </c>
      <c r="P10" s="45">
        <v>2180</v>
      </c>
      <c r="Q10" s="45">
        <v>653000</v>
      </c>
      <c r="R10" s="45">
        <v>100</v>
      </c>
      <c r="S10" s="45">
        <v>100</v>
      </c>
      <c r="T10" s="25">
        <v>44201.38</v>
      </c>
      <c r="U10">
        <v>210510</v>
      </c>
      <c r="V10" t="s">
        <v>176</v>
      </c>
    </row>
    <row r="11" spans="1:22" hidden="1">
      <c r="T11" s="40">
        <f>SUM(T3:T10)</f>
        <v>319927.66000000003</v>
      </c>
    </row>
    <row r="12" spans="1:22" ht="18.95" hidden="1">
      <c r="A12" s="109" t="s">
        <v>177</v>
      </c>
    </row>
    <row r="13" spans="1:22" hidden="1">
      <c r="A13" s="108" t="s">
        <v>178</v>
      </c>
      <c r="B13" s="103"/>
    </row>
    <row r="14" spans="1:22" s="67" customFormat="1" ht="24" hidden="1" customHeight="1">
      <c r="A14" s="107" t="s">
        <v>148</v>
      </c>
      <c r="B14" s="107" t="s">
        <v>179</v>
      </c>
      <c r="C14" s="107">
        <v>250025</v>
      </c>
      <c r="D14" s="67" t="s">
        <v>180</v>
      </c>
      <c r="E14" s="67" t="s">
        <v>181</v>
      </c>
      <c r="F14" s="67" t="s">
        <v>182</v>
      </c>
      <c r="G14" s="66"/>
      <c r="I14" s="107">
        <v>30</v>
      </c>
      <c r="J14" s="107" t="s">
        <v>183</v>
      </c>
      <c r="K14" s="107"/>
      <c r="L14" s="107">
        <v>114000</v>
      </c>
      <c r="M14" s="67" t="s">
        <v>151</v>
      </c>
      <c r="N14" s="107">
        <v>280001</v>
      </c>
      <c r="O14" s="67" t="s">
        <v>184</v>
      </c>
      <c r="P14" s="107">
        <v>1160</v>
      </c>
      <c r="Q14" s="107">
        <v>669000</v>
      </c>
      <c r="R14" s="107">
        <v>100</v>
      </c>
      <c r="S14" s="107">
        <v>100</v>
      </c>
      <c r="T14" s="106">
        <v>95033.7</v>
      </c>
      <c r="U14" s="67">
        <v>210038</v>
      </c>
      <c r="V14" s="67" t="s">
        <v>157</v>
      </c>
    </row>
    <row r="15" spans="1:22" ht="24" hidden="1" customHeight="1">
      <c r="A15" s="45" t="s">
        <v>148</v>
      </c>
      <c r="B15" s="45" t="s">
        <v>179</v>
      </c>
      <c r="C15" s="45">
        <v>250171</v>
      </c>
      <c r="D15" t="s">
        <v>180</v>
      </c>
      <c r="E15" s="67" t="s">
        <v>181</v>
      </c>
      <c r="F15" s="102" t="s">
        <v>185</v>
      </c>
      <c r="I15" s="45">
        <v>30</v>
      </c>
      <c r="J15" s="45" t="s">
        <v>183</v>
      </c>
      <c r="K15" s="45">
        <v>240149</v>
      </c>
      <c r="L15" s="45">
        <v>114000</v>
      </c>
      <c r="M15" t="s">
        <v>151</v>
      </c>
      <c r="N15" s="45">
        <v>237004</v>
      </c>
      <c r="O15" t="s">
        <v>186</v>
      </c>
      <c r="P15" s="45">
        <v>1160</v>
      </c>
      <c r="Q15" s="45">
        <v>123010</v>
      </c>
      <c r="R15" s="45">
        <v>20</v>
      </c>
      <c r="S15" s="45">
        <v>100</v>
      </c>
      <c r="T15" s="26">
        <v>86393.7</v>
      </c>
      <c r="U15">
        <v>210038</v>
      </c>
      <c r="V15" t="s">
        <v>157</v>
      </c>
    </row>
    <row r="16" spans="1:22" ht="24" hidden="1" customHeight="1">
      <c r="A16" s="45" t="s">
        <v>148</v>
      </c>
      <c r="B16" s="45" t="s">
        <v>179</v>
      </c>
      <c r="C16" s="45">
        <v>258898</v>
      </c>
      <c r="D16" t="s">
        <v>180</v>
      </c>
      <c r="E16" s="67" t="s">
        <v>187</v>
      </c>
      <c r="F16" s="67" t="s">
        <v>188</v>
      </c>
      <c r="I16" s="45">
        <v>30</v>
      </c>
      <c r="J16" s="45" t="s">
        <v>183</v>
      </c>
      <c r="L16" s="45">
        <v>114000</v>
      </c>
      <c r="M16" t="s">
        <v>151</v>
      </c>
      <c r="N16" s="45">
        <v>280001</v>
      </c>
      <c r="O16" t="s">
        <v>184</v>
      </c>
      <c r="P16" s="45">
        <v>1160</v>
      </c>
      <c r="Q16" s="45">
        <v>669000</v>
      </c>
      <c r="R16" s="45">
        <v>20</v>
      </c>
      <c r="S16" s="45">
        <v>100</v>
      </c>
      <c r="T16" s="26">
        <v>86393.7</v>
      </c>
      <c r="U16">
        <v>210038</v>
      </c>
      <c r="V16" t="s">
        <v>157</v>
      </c>
    </row>
    <row r="17" spans="1:22" ht="17.100000000000001" hidden="1" customHeight="1">
      <c r="A17" s="108" t="s">
        <v>189</v>
      </c>
      <c r="B17" s="103"/>
      <c r="T17" s="39">
        <f>SUM(T14:T16)</f>
        <v>267821.09999999998</v>
      </c>
    </row>
    <row r="18" spans="1:22" ht="17.100000000000001" hidden="1" customHeight="1">
      <c r="A18" s="45" t="s">
        <v>148</v>
      </c>
      <c r="B18" s="45" t="s">
        <v>179</v>
      </c>
      <c r="C18" s="45">
        <v>250016</v>
      </c>
      <c r="D18" t="s">
        <v>180</v>
      </c>
      <c r="E18" s="105" t="s">
        <v>190</v>
      </c>
      <c r="F18" s="67" t="s">
        <v>191</v>
      </c>
      <c r="I18" s="45">
        <v>30</v>
      </c>
      <c r="J18" s="45" t="s">
        <v>183</v>
      </c>
      <c r="L18" s="45">
        <v>114000</v>
      </c>
      <c r="M18" t="s">
        <v>151</v>
      </c>
      <c r="N18" s="45">
        <v>237004</v>
      </c>
      <c r="O18" t="s">
        <v>186</v>
      </c>
      <c r="P18" s="45">
        <v>1160</v>
      </c>
      <c r="Q18" s="45">
        <v>123010</v>
      </c>
      <c r="R18" s="45">
        <v>100</v>
      </c>
      <c r="S18" s="45">
        <v>100</v>
      </c>
      <c r="T18" s="26">
        <v>95033.07</v>
      </c>
      <c r="U18">
        <v>210038</v>
      </c>
      <c r="V18" t="s">
        <v>157</v>
      </c>
    </row>
    <row r="19" spans="1:22" ht="17.100000000000001" hidden="1" customHeight="1">
      <c r="A19" s="45" t="s">
        <v>148</v>
      </c>
      <c r="B19" s="45" t="s">
        <v>179</v>
      </c>
      <c r="C19" s="45">
        <v>250021</v>
      </c>
      <c r="D19" t="s">
        <v>180</v>
      </c>
      <c r="E19" s="105" t="s">
        <v>192</v>
      </c>
      <c r="F19" s="67" t="s">
        <v>193</v>
      </c>
      <c r="I19" s="45">
        <v>50</v>
      </c>
      <c r="J19" s="45" t="s">
        <v>183</v>
      </c>
      <c r="L19" s="45">
        <v>114000</v>
      </c>
      <c r="M19" t="s">
        <v>151</v>
      </c>
      <c r="N19" s="45">
        <v>238005</v>
      </c>
      <c r="O19" t="s">
        <v>194</v>
      </c>
      <c r="P19" s="45">
        <v>1160</v>
      </c>
      <c r="Q19" s="45">
        <v>150100</v>
      </c>
      <c r="R19" s="45">
        <v>100</v>
      </c>
      <c r="S19" s="45">
        <v>100</v>
      </c>
      <c r="T19" s="26">
        <v>119047.3</v>
      </c>
      <c r="U19">
        <v>210011</v>
      </c>
      <c r="V19" t="s">
        <v>195</v>
      </c>
    </row>
    <row r="20" spans="1:22" s="67" customFormat="1" ht="17.100000000000001" hidden="1" customHeight="1">
      <c r="A20" s="107" t="s">
        <v>148</v>
      </c>
      <c r="B20" s="107" t="s">
        <v>179</v>
      </c>
      <c r="C20" s="107">
        <v>250070</v>
      </c>
      <c r="D20" s="67" t="s">
        <v>180</v>
      </c>
      <c r="E20" s="105" t="s">
        <v>196</v>
      </c>
      <c r="F20" s="67" t="s">
        <v>197</v>
      </c>
      <c r="G20" s="66" t="s">
        <v>198</v>
      </c>
      <c r="H20" s="67">
        <v>114000</v>
      </c>
      <c r="I20" s="107">
        <v>30</v>
      </c>
      <c r="J20" s="107" t="s">
        <v>183</v>
      </c>
      <c r="K20" s="107"/>
      <c r="L20" s="107">
        <v>114000</v>
      </c>
      <c r="M20" s="67" t="s">
        <v>151</v>
      </c>
      <c r="N20" s="107">
        <v>238005</v>
      </c>
      <c r="O20" s="67" t="s">
        <v>194</v>
      </c>
      <c r="P20" s="107">
        <v>1160</v>
      </c>
      <c r="Q20" s="107">
        <v>150100</v>
      </c>
      <c r="R20" s="107">
        <v>100</v>
      </c>
      <c r="S20" s="107">
        <v>100</v>
      </c>
      <c r="T20" s="106">
        <v>86393.7</v>
      </c>
      <c r="U20" s="67">
        <v>210011</v>
      </c>
      <c r="V20" s="67" t="s">
        <v>195</v>
      </c>
    </row>
    <row r="21" spans="1:22" ht="17.100000000000001" hidden="1" customHeight="1">
      <c r="A21" s="45" t="s">
        <v>148</v>
      </c>
      <c r="B21" s="45" t="s">
        <v>179</v>
      </c>
      <c r="C21" s="45">
        <v>250196</v>
      </c>
      <c r="D21" t="s">
        <v>180</v>
      </c>
      <c r="E21" s="105" t="s">
        <v>199</v>
      </c>
      <c r="F21" s="67" t="s">
        <v>200</v>
      </c>
      <c r="G21" s="66" t="s">
        <v>201</v>
      </c>
      <c r="H21">
        <v>114000</v>
      </c>
      <c r="I21" s="45">
        <v>30</v>
      </c>
      <c r="J21" s="45" t="s">
        <v>183</v>
      </c>
      <c r="K21" s="45">
        <v>240184</v>
      </c>
      <c r="L21" s="45">
        <v>114000</v>
      </c>
      <c r="M21" t="s">
        <v>151</v>
      </c>
      <c r="N21" s="45">
        <v>239013</v>
      </c>
      <c r="O21" t="s">
        <v>202</v>
      </c>
      <c r="P21" s="45">
        <v>1160</v>
      </c>
      <c r="Q21" s="45">
        <v>130500</v>
      </c>
      <c r="R21" s="45">
        <v>80</v>
      </c>
      <c r="S21" s="45">
        <v>100</v>
      </c>
      <c r="T21" s="26">
        <v>86393.7</v>
      </c>
      <c r="U21">
        <v>210032</v>
      </c>
      <c r="V21" t="s">
        <v>203</v>
      </c>
    </row>
    <row r="22" spans="1:22" ht="17.100000000000001" hidden="1" customHeight="1">
      <c r="A22" s="45" t="s">
        <v>148</v>
      </c>
      <c r="B22" s="45" t="s">
        <v>179</v>
      </c>
      <c r="C22" s="45">
        <v>250196</v>
      </c>
      <c r="D22" t="s">
        <v>180</v>
      </c>
      <c r="E22" s="105" t="s">
        <v>199</v>
      </c>
      <c r="F22" s="67" t="s">
        <v>200</v>
      </c>
      <c r="G22" s="66" t="s">
        <v>201</v>
      </c>
      <c r="H22">
        <v>114000</v>
      </c>
      <c r="I22" s="45">
        <v>30</v>
      </c>
      <c r="J22" s="45" t="s">
        <v>183</v>
      </c>
      <c r="K22" s="45">
        <v>240184</v>
      </c>
      <c r="L22" s="45">
        <v>114000</v>
      </c>
      <c r="M22" t="s">
        <v>151</v>
      </c>
      <c r="N22" s="45">
        <v>239013</v>
      </c>
      <c r="O22" t="s">
        <v>202</v>
      </c>
      <c r="P22" s="45">
        <v>1260</v>
      </c>
      <c r="Q22" s="45">
        <v>130500</v>
      </c>
      <c r="R22" s="45">
        <v>20</v>
      </c>
      <c r="S22" s="45">
        <v>100</v>
      </c>
      <c r="T22" s="26">
        <v>86393.7</v>
      </c>
      <c r="U22">
        <v>210032</v>
      </c>
      <c r="V22" t="s">
        <v>203</v>
      </c>
    </row>
    <row r="23" spans="1:22" ht="17.100000000000001" hidden="1" customHeight="1">
      <c r="A23" s="45" t="s">
        <v>148</v>
      </c>
      <c r="B23" s="45" t="s">
        <v>179</v>
      </c>
      <c r="C23" s="45">
        <v>250373</v>
      </c>
      <c r="D23" t="s">
        <v>180</v>
      </c>
      <c r="E23" s="105" t="s">
        <v>204</v>
      </c>
      <c r="F23" s="102" t="s">
        <v>205</v>
      </c>
      <c r="I23" s="45">
        <v>30</v>
      </c>
      <c r="J23" s="45" t="s">
        <v>183</v>
      </c>
      <c r="L23" s="45">
        <v>114000</v>
      </c>
      <c r="M23" t="s">
        <v>151</v>
      </c>
      <c r="N23" s="45">
        <v>237002</v>
      </c>
      <c r="O23" t="s">
        <v>156</v>
      </c>
      <c r="P23" s="45">
        <v>1160</v>
      </c>
      <c r="Q23" s="45">
        <v>40100</v>
      </c>
      <c r="R23" s="45">
        <v>100</v>
      </c>
      <c r="S23" s="45">
        <v>100</v>
      </c>
      <c r="T23" s="26">
        <v>86393.7</v>
      </c>
      <c r="U23">
        <v>210038</v>
      </c>
      <c r="V23" t="s">
        <v>157</v>
      </c>
    </row>
    <row r="24" spans="1:22" ht="17.100000000000001" hidden="1" customHeight="1">
      <c r="A24" s="45" t="s">
        <v>148</v>
      </c>
      <c r="B24" s="45" t="s">
        <v>179</v>
      </c>
      <c r="C24" s="45">
        <v>250390</v>
      </c>
      <c r="D24" t="s">
        <v>180</v>
      </c>
      <c r="E24" s="105" t="s">
        <v>192</v>
      </c>
      <c r="F24" s="67" t="s">
        <v>206</v>
      </c>
      <c r="I24" s="45">
        <v>30</v>
      </c>
      <c r="J24" s="45" t="s">
        <v>183</v>
      </c>
      <c r="K24" s="45">
        <v>240124</v>
      </c>
      <c r="L24" s="45">
        <v>114000</v>
      </c>
      <c r="M24" t="s">
        <v>151</v>
      </c>
      <c r="N24" s="45">
        <v>234003</v>
      </c>
      <c r="O24" t="s">
        <v>207</v>
      </c>
      <c r="P24" s="45">
        <v>1160</v>
      </c>
      <c r="Q24" s="45">
        <v>220300</v>
      </c>
      <c r="R24" s="45">
        <v>100</v>
      </c>
      <c r="S24" s="45">
        <v>100</v>
      </c>
      <c r="T24" s="26">
        <v>86393.7</v>
      </c>
      <c r="U24">
        <v>210038</v>
      </c>
      <c r="V24" t="s">
        <v>157</v>
      </c>
    </row>
    <row r="25" spans="1:22" ht="17.100000000000001" hidden="1" customHeight="1">
      <c r="A25" s="45" t="s">
        <v>148</v>
      </c>
      <c r="B25" s="45" t="s">
        <v>179</v>
      </c>
      <c r="C25" s="45">
        <v>250500</v>
      </c>
      <c r="D25" t="s">
        <v>180</v>
      </c>
      <c r="E25" s="105" t="s">
        <v>208</v>
      </c>
      <c r="F25" s="67" t="s">
        <v>209</v>
      </c>
      <c r="G25" s="66">
        <v>114000</v>
      </c>
      <c r="I25" s="45">
        <v>20</v>
      </c>
      <c r="J25" s="45" t="s">
        <v>183</v>
      </c>
      <c r="K25" s="45">
        <v>240149</v>
      </c>
      <c r="L25" s="45">
        <v>114000</v>
      </c>
      <c r="M25" t="s">
        <v>151</v>
      </c>
      <c r="N25" s="45">
        <v>237004</v>
      </c>
      <c r="O25" t="s">
        <v>186</v>
      </c>
      <c r="P25" s="45">
        <v>1160</v>
      </c>
      <c r="Q25" s="45">
        <v>123010</v>
      </c>
      <c r="R25" s="45">
        <v>20</v>
      </c>
      <c r="S25" s="45">
        <v>100</v>
      </c>
      <c r="T25" s="26">
        <v>86393.37</v>
      </c>
      <c r="U25">
        <v>210008</v>
      </c>
      <c r="V25" t="s">
        <v>168</v>
      </c>
    </row>
    <row r="26" spans="1:22" ht="17.100000000000001" hidden="1" customHeight="1">
      <c r="A26" s="45" t="s">
        <v>148</v>
      </c>
      <c r="B26" s="45" t="s">
        <v>210</v>
      </c>
      <c r="C26" s="45">
        <v>250209</v>
      </c>
      <c r="D26" t="s">
        <v>180</v>
      </c>
      <c r="E26" s="101" t="s">
        <v>199</v>
      </c>
      <c r="F26" s="67" t="s">
        <v>211</v>
      </c>
      <c r="I26" s="45">
        <v>30</v>
      </c>
      <c r="J26" s="45" t="s">
        <v>212</v>
      </c>
      <c r="K26" s="45">
        <v>240127</v>
      </c>
      <c r="L26" s="45">
        <v>114000</v>
      </c>
      <c r="M26" t="s">
        <v>151</v>
      </c>
      <c r="N26" s="45">
        <v>234501</v>
      </c>
      <c r="O26" t="s">
        <v>213</v>
      </c>
      <c r="P26" s="45">
        <v>1260</v>
      </c>
      <c r="Q26" s="45">
        <v>612000</v>
      </c>
      <c r="R26" s="45">
        <v>100</v>
      </c>
      <c r="S26" s="45">
        <v>100</v>
      </c>
      <c r="T26" s="26">
        <v>86393.7</v>
      </c>
      <c r="U26">
        <v>210059</v>
      </c>
      <c r="V26" t="s">
        <v>214</v>
      </c>
    </row>
    <row r="27" spans="1:22" ht="33.950000000000003" hidden="1">
      <c r="A27" s="45" t="s">
        <v>148</v>
      </c>
      <c r="B27" s="45" t="s">
        <v>179</v>
      </c>
      <c r="C27" s="45">
        <v>258899</v>
      </c>
      <c r="D27" t="s">
        <v>180</v>
      </c>
      <c r="E27" s="105" t="s">
        <v>208</v>
      </c>
      <c r="F27" s="67" t="s">
        <v>215</v>
      </c>
      <c r="I27" s="45">
        <v>30</v>
      </c>
      <c r="J27" s="45" t="s">
        <v>183</v>
      </c>
      <c r="L27" s="45">
        <v>114000</v>
      </c>
      <c r="M27" t="s">
        <v>151</v>
      </c>
      <c r="N27" s="45">
        <v>280001</v>
      </c>
      <c r="O27" t="s">
        <v>184</v>
      </c>
      <c r="P27" s="45">
        <v>1160</v>
      </c>
      <c r="Q27" s="45">
        <v>669000</v>
      </c>
      <c r="R27" s="45">
        <v>20</v>
      </c>
      <c r="S27" s="45">
        <v>100</v>
      </c>
      <c r="T27" s="26">
        <v>86393.7</v>
      </c>
      <c r="U27">
        <v>210038</v>
      </c>
      <c r="V27" t="s">
        <v>157</v>
      </c>
    </row>
    <row r="28" spans="1:22" ht="17.100000000000001" hidden="1" customHeight="1">
      <c r="A28" s="104" t="s">
        <v>216</v>
      </c>
      <c r="B28" s="103"/>
      <c r="T28" s="40">
        <f>SUM(T18:T27)</f>
        <v>905229.6399999999</v>
      </c>
    </row>
    <row r="29" spans="1:22" ht="18" hidden="1" customHeight="1">
      <c r="A29" s="45" t="s">
        <v>148</v>
      </c>
      <c r="B29" s="45" t="s">
        <v>179</v>
      </c>
      <c r="C29" s="45">
        <v>250122</v>
      </c>
      <c r="D29" t="s">
        <v>180</v>
      </c>
      <c r="E29" s="101" t="s">
        <v>217</v>
      </c>
      <c r="F29" s="102" t="s">
        <v>218</v>
      </c>
      <c r="I29" s="45">
        <v>50</v>
      </c>
      <c r="J29" s="45" t="s">
        <v>183</v>
      </c>
      <c r="L29" s="45">
        <v>114000</v>
      </c>
      <c r="M29" t="s">
        <v>151</v>
      </c>
      <c r="N29" s="45">
        <v>239005</v>
      </c>
      <c r="O29" t="s">
        <v>219</v>
      </c>
      <c r="P29" s="45">
        <v>1160</v>
      </c>
      <c r="Q29" s="45">
        <v>220500</v>
      </c>
      <c r="R29" s="45">
        <v>100</v>
      </c>
      <c r="S29" s="45">
        <v>100</v>
      </c>
      <c r="T29" s="26">
        <v>127797.3</v>
      </c>
      <c r="U29">
        <v>210032</v>
      </c>
      <c r="V29" t="s">
        <v>203</v>
      </c>
    </row>
    <row r="30" spans="1:22" ht="18" hidden="1" customHeight="1">
      <c r="A30" s="45" t="s">
        <v>148</v>
      </c>
      <c r="B30" s="45" t="s">
        <v>179</v>
      </c>
      <c r="C30" s="45">
        <v>250248</v>
      </c>
      <c r="D30" t="s">
        <v>180</v>
      </c>
      <c r="E30" s="101" t="s">
        <v>220</v>
      </c>
      <c r="F30" s="102" t="s">
        <v>221</v>
      </c>
      <c r="I30" s="45">
        <v>50</v>
      </c>
      <c r="J30" s="45" t="s">
        <v>183</v>
      </c>
      <c r="L30" s="45">
        <v>114000</v>
      </c>
      <c r="M30" t="s">
        <v>151</v>
      </c>
      <c r="N30" s="45">
        <v>234001</v>
      </c>
      <c r="O30" t="s">
        <v>222</v>
      </c>
      <c r="P30" s="45">
        <v>1160</v>
      </c>
      <c r="Q30" s="45">
        <v>221000</v>
      </c>
      <c r="R30" s="45">
        <v>100</v>
      </c>
      <c r="S30" s="45">
        <v>100</v>
      </c>
      <c r="T30" s="26">
        <v>101067.5</v>
      </c>
      <c r="U30">
        <v>210080</v>
      </c>
      <c r="V30" t="s">
        <v>223</v>
      </c>
    </row>
    <row r="31" spans="1:22" ht="18" hidden="1" customHeight="1">
      <c r="A31" s="45" t="s">
        <v>148</v>
      </c>
      <c r="B31" s="45" t="s">
        <v>179</v>
      </c>
      <c r="C31" s="45">
        <v>250274</v>
      </c>
      <c r="D31" t="s">
        <v>180</v>
      </c>
      <c r="E31" s="101" t="s">
        <v>224</v>
      </c>
      <c r="F31" s="67" t="s">
        <v>225</v>
      </c>
      <c r="I31" s="45">
        <v>30</v>
      </c>
      <c r="J31" s="45" t="s">
        <v>183</v>
      </c>
      <c r="L31" s="45">
        <v>114000</v>
      </c>
      <c r="M31" t="s">
        <v>151</v>
      </c>
      <c r="N31" s="45">
        <v>235004</v>
      </c>
      <c r="O31" t="s">
        <v>226</v>
      </c>
      <c r="P31" s="45">
        <v>1160</v>
      </c>
      <c r="Q31" s="45">
        <v>170100</v>
      </c>
      <c r="R31" s="45">
        <v>100</v>
      </c>
      <c r="S31" s="45">
        <v>100</v>
      </c>
      <c r="T31" s="26">
        <v>112059.3</v>
      </c>
      <c r="U31">
        <v>210008</v>
      </c>
      <c r="V31" t="s">
        <v>168</v>
      </c>
    </row>
    <row r="32" spans="1:22" ht="18" hidden="1" customHeight="1">
      <c r="A32" s="45" t="s">
        <v>148</v>
      </c>
      <c r="B32" s="45" t="s">
        <v>179</v>
      </c>
      <c r="C32" s="45">
        <v>250298</v>
      </c>
      <c r="D32" t="s">
        <v>180</v>
      </c>
      <c r="E32" s="101" t="s">
        <v>227</v>
      </c>
      <c r="F32" s="67" t="s">
        <v>228</v>
      </c>
      <c r="I32" s="45">
        <v>30</v>
      </c>
      <c r="J32" s="45" t="s">
        <v>183</v>
      </c>
      <c r="L32" s="45">
        <v>114000</v>
      </c>
      <c r="M32" t="s">
        <v>151</v>
      </c>
      <c r="N32" s="45">
        <v>238005</v>
      </c>
      <c r="O32" t="s">
        <v>194</v>
      </c>
      <c r="P32" s="45">
        <v>1160</v>
      </c>
      <c r="Q32" s="45">
        <v>150100</v>
      </c>
      <c r="R32" s="45">
        <v>100</v>
      </c>
      <c r="S32" s="45">
        <v>100</v>
      </c>
      <c r="T32" s="26">
        <v>108821.3</v>
      </c>
      <c r="U32">
        <v>210011</v>
      </c>
      <c r="V32" t="s">
        <v>195</v>
      </c>
    </row>
    <row r="33" spans="1:22" ht="18" hidden="1" customHeight="1">
      <c r="A33" s="45" t="s">
        <v>148</v>
      </c>
      <c r="B33" s="45" t="s">
        <v>179</v>
      </c>
      <c r="C33" s="45">
        <v>255501</v>
      </c>
      <c r="D33" t="s">
        <v>180</v>
      </c>
      <c r="E33" s="101" t="s">
        <v>229</v>
      </c>
      <c r="F33" s="67" t="s">
        <v>230</v>
      </c>
      <c r="G33" s="66" t="s">
        <v>231</v>
      </c>
      <c r="I33" s="45">
        <v>20</v>
      </c>
      <c r="J33" s="45" t="s">
        <v>183</v>
      </c>
      <c r="L33" s="45">
        <v>114000</v>
      </c>
      <c r="M33" t="s">
        <v>151</v>
      </c>
      <c r="N33" s="45">
        <v>235004</v>
      </c>
      <c r="O33" t="s">
        <v>226</v>
      </c>
      <c r="P33" s="45">
        <v>1160</v>
      </c>
      <c r="Q33" s="45">
        <v>170100</v>
      </c>
      <c r="R33" s="45">
        <v>100</v>
      </c>
      <c r="S33" s="45">
        <v>100</v>
      </c>
      <c r="T33" s="26">
        <v>0</v>
      </c>
      <c r="U33">
        <v>410002</v>
      </c>
      <c r="V33" t="s">
        <v>232</v>
      </c>
    </row>
    <row r="34" spans="1:22" ht="18" hidden="1" customHeight="1">
      <c r="A34" s="45" t="s">
        <v>148</v>
      </c>
      <c r="B34" s="45" t="s">
        <v>210</v>
      </c>
      <c r="C34" s="45">
        <v>250210</v>
      </c>
      <c r="D34" t="s">
        <v>233</v>
      </c>
      <c r="E34" s="101" t="s">
        <v>234</v>
      </c>
      <c r="I34" s="45">
        <v>30</v>
      </c>
      <c r="J34" s="45" t="s">
        <v>235</v>
      </c>
      <c r="L34" s="45">
        <v>114000</v>
      </c>
      <c r="M34" t="s">
        <v>151</v>
      </c>
      <c r="N34" s="45">
        <v>226001</v>
      </c>
      <c r="O34" t="s">
        <v>161</v>
      </c>
      <c r="P34" s="45">
        <v>1260</v>
      </c>
      <c r="Q34" s="45">
        <v>83500</v>
      </c>
      <c r="R34" s="45">
        <v>100</v>
      </c>
      <c r="S34" s="45">
        <v>100</v>
      </c>
      <c r="T34" s="26">
        <v>142485.6</v>
      </c>
      <c r="U34">
        <v>210025</v>
      </c>
      <c r="V34" t="s">
        <v>162</v>
      </c>
    </row>
    <row r="35" spans="1:22" ht="18" hidden="1" customHeight="1">
      <c r="A35" s="45" t="s">
        <v>148</v>
      </c>
      <c r="B35" s="45" t="s">
        <v>210</v>
      </c>
      <c r="C35" s="45">
        <v>252219</v>
      </c>
      <c r="D35" t="s">
        <v>236</v>
      </c>
      <c r="E35" s="101" t="s">
        <v>237</v>
      </c>
      <c r="F35" s="67" t="s">
        <v>238</v>
      </c>
      <c r="I35" s="45">
        <v>30</v>
      </c>
      <c r="J35" s="45" t="s">
        <v>212</v>
      </c>
      <c r="L35" s="45">
        <v>114000</v>
      </c>
      <c r="M35" t="s">
        <v>151</v>
      </c>
      <c r="N35" s="45">
        <v>280001</v>
      </c>
      <c r="O35" t="s">
        <v>184</v>
      </c>
      <c r="P35" s="45">
        <v>1260</v>
      </c>
      <c r="Q35" s="45">
        <v>669000</v>
      </c>
      <c r="R35" s="45">
        <v>0</v>
      </c>
      <c r="S35" s="45">
        <v>100</v>
      </c>
      <c r="T35" s="26">
        <v>95033.07</v>
      </c>
      <c r="U35">
        <v>210002</v>
      </c>
      <c r="V35" t="s">
        <v>239</v>
      </c>
    </row>
    <row r="36" spans="1:22" ht="51.95" hidden="1" customHeight="1">
      <c r="A36" s="45" t="s">
        <v>148</v>
      </c>
      <c r="B36" s="45" t="s">
        <v>179</v>
      </c>
      <c r="C36" s="45">
        <v>254402</v>
      </c>
      <c r="D36" t="s">
        <v>240</v>
      </c>
      <c r="E36" s="101" t="s">
        <v>229</v>
      </c>
      <c r="F36" s="67" t="s">
        <v>241</v>
      </c>
      <c r="G36" s="66" t="s">
        <v>242</v>
      </c>
      <c r="I36" s="45">
        <v>20</v>
      </c>
      <c r="J36" s="45" t="s">
        <v>183</v>
      </c>
      <c r="L36" s="45">
        <v>114004</v>
      </c>
      <c r="M36" t="s">
        <v>243</v>
      </c>
      <c r="N36" s="45">
        <v>235004</v>
      </c>
      <c r="O36" t="s">
        <v>226</v>
      </c>
      <c r="P36" s="45">
        <v>1160</v>
      </c>
      <c r="Q36" s="45">
        <v>170100</v>
      </c>
      <c r="R36" s="45">
        <v>100</v>
      </c>
      <c r="S36" s="45">
        <v>100</v>
      </c>
      <c r="T36" s="26">
        <v>0</v>
      </c>
      <c r="U36">
        <v>210008</v>
      </c>
      <c r="V36" t="s">
        <v>168</v>
      </c>
    </row>
    <row r="37" spans="1:22" ht="18" hidden="1" customHeight="1">
      <c r="R37" s="100"/>
      <c r="S37" s="2"/>
      <c r="T37" s="40">
        <f>SUM(T29:T36)</f>
        <v>687264.07000000007</v>
      </c>
      <c r="U37" s="99"/>
    </row>
    <row r="38" spans="1:22" ht="18" hidden="1" customHeight="1">
      <c r="A38" s="97" t="s">
        <v>244</v>
      </c>
    </row>
    <row r="39" spans="1:22" ht="17.100000000000001" hidden="1">
      <c r="A39" s="45" t="s">
        <v>148</v>
      </c>
      <c r="B39" s="45" t="s">
        <v>179</v>
      </c>
      <c r="C39" s="45">
        <v>257701</v>
      </c>
      <c r="D39" t="s">
        <v>180</v>
      </c>
      <c r="E39" s="67" t="s">
        <v>245</v>
      </c>
      <c r="I39" s="45">
        <v>30</v>
      </c>
      <c r="J39" s="45" t="s">
        <v>183</v>
      </c>
      <c r="L39" s="45">
        <v>114000</v>
      </c>
      <c r="M39" t="s">
        <v>151</v>
      </c>
      <c r="N39" s="45">
        <v>226008</v>
      </c>
      <c r="O39" t="s">
        <v>246</v>
      </c>
      <c r="P39" s="45">
        <v>1160</v>
      </c>
      <c r="Q39" s="45">
        <v>83500</v>
      </c>
      <c r="R39" s="45">
        <v>100</v>
      </c>
      <c r="S39" s="45">
        <v>100</v>
      </c>
      <c r="T39" s="26">
        <v>0</v>
      </c>
      <c r="U39">
        <v>210025</v>
      </c>
      <c r="V39" t="s">
        <v>162</v>
      </c>
    </row>
    <row r="40" spans="1:22" ht="17.100000000000001" hidden="1">
      <c r="A40" s="45" t="s">
        <v>148</v>
      </c>
      <c r="B40" s="45" t="s">
        <v>179</v>
      </c>
      <c r="C40" s="45">
        <v>257711</v>
      </c>
      <c r="D40" t="s">
        <v>180</v>
      </c>
      <c r="E40" s="67" t="s">
        <v>245</v>
      </c>
      <c r="I40" s="45">
        <v>20</v>
      </c>
      <c r="J40" s="45" t="s">
        <v>183</v>
      </c>
      <c r="L40" s="45">
        <v>114000</v>
      </c>
      <c r="M40" t="s">
        <v>151</v>
      </c>
      <c r="N40" s="45">
        <v>226005</v>
      </c>
      <c r="O40" t="s">
        <v>247</v>
      </c>
      <c r="P40" s="45">
        <v>1160</v>
      </c>
      <c r="Q40" s="45">
        <v>83500</v>
      </c>
      <c r="R40" s="45">
        <v>100</v>
      </c>
      <c r="S40" s="45">
        <v>100</v>
      </c>
      <c r="T40" s="26">
        <v>0</v>
      </c>
      <c r="U40">
        <v>250207</v>
      </c>
      <c r="V40" t="s">
        <v>180</v>
      </c>
    </row>
    <row r="41" spans="1:22" ht="17.100000000000001" hidden="1">
      <c r="A41" s="45" t="s">
        <v>148</v>
      </c>
      <c r="B41" s="45" t="s">
        <v>179</v>
      </c>
      <c r="C41" s="45">
        <v>257712</v>
      </c>
      <c r="D41" t="s">
        <v>180</v>
      </c>
      <c r="E41" s="67" t="s">
        <v>245</v>
      </c>
      <c r="I41" s="45">
        <v>30</v>
      </c>
      <c r="J41" s="45" t="s">
        <v>183</v>
      </c>
      <c r="L41" s="45">
        <v>114000</v>
      </c>
      <c r="M41" t="s">
        <v>151</v>
      </c>
      <c r="N41" s="45">
        <v>226018</v>
      </c>
      <c r="O41" t="s">
        <v>248</v>
      </c>
      <c r="P41" s="45">
        <v>1160</v>
      </c>
      <c r="Q41" s="45">
        <v>83500</v>
      </c>
      <c r="R41" s="45">
        <v>100</v>
      </c>
      <c r="S41" s="45">
        <v>100</v>
      </c>
      <c r="T41" s="26">
        <v>0</v>
      </c>
      <c r="U41">
        <v>210025</v>
      </c>
      <c r="V41" t="s">
        <v>162</v>
      </c>
    </row>
    <row r="42" spans="1:22" ht="17.100000000000001" hidden="1">
      <c r="A42" s="45" t="s">
        <v>148</v>
      </c>
      <c r="B42" s="45" t="s">
        <v>179</v>
      </c>
      <c r="C42" s="45">
        <v>257713</v>
      </c>
      <c r="D42" t="s">
        <v>180</v>
      </c>
      <c r="E42" s="67" t="s">
        <v>245</v>
      </c>
      <c r="I42" s="45">
        <v>20</v>
      </c>
      <c r="J42" s="45" t="s">
        <v>183</v>
      </c>
      <c r="L42" s="45">
        <v>114000</v>
      </c>
      <c r="M42" t="s">
        <v>151</v>
      </c>
      <c r="N42" s="45">
        <v>235004</v>
      </c>
      <c r="O42" t="s">
        <v>226</v>
      </c>
      <c r="P42" s="45">
        <v>1260</v>
      </c>
      <c r="Q42" s="45">
        <v>170100</v>
      </c>
      <c r="R42" s="45">
        <v>100</v>
      </c>
      <c r="S42" s="45">
        <v>100</v>
      </c>
      <c r="T42" s="26">
        <v>0</v>
      </c>
      <c r="U42">
        <v>210008</v>
      </c>
      <c r="V42" t="s">
        <v>168</v>
      </c>
    </row>
    <row r="43" spans="1:22" ht="17.100000000000001" hidden="1">
      <c r="A43" s="45" t="s">
        <v>148</v>
      </c>
      <c r="B43" s="45" t="s">
        <v>179</v>
      </c>
      <c r="C43" s="45">
        <v>257715</v>
      </c>
      <c r="D43" t="s">
        <v>180</v>
      </c>
      <c r="E43" s="67" t="s">
        <v>245</v>
      </c>
      <c r="I43" s="45">
        <v>50</v>
      </c>
      <c r="J43" s="45" t="s">
        <v>183</v>
      </c>
      <c r="L43" s="45">
        <v>114000</v>
      </c>
      <c r="M43" t="s">
        <v>151</v>
      </c>
      <c r="N43" s="45">
        <v>239001</v>
      </c>
      <c r="O43" t="s">
        <v>249</v>
      </c>
      <c r="P43" s="45">
        <v>1250</v>
      </c>
      <c r="Q43" s="45">
        <v>601000</v>
      </c>
      <c r="R43" s="45">
        <v>100</v>
      </c>
      <c r="S43" s="45">
        <v>100</v>
      </c>
      <c r="T43" s="26">
        <v>0</v>
      </c>
      <c r="U43">
        <v>210032</v>
      </c>
      <c r="V43" t="s">
        <v>203</v>
      </c>
    </row>
    <row r="44" spans="1:22" ht="17.100000000000001" hidden="1">
      <c r="A44" s="45" t="s">
        <v>148</v>
      </c>
      <c r="B44" s="45" t="s">
        <v>179</v>
      </c>
      <c r="C44" s="45">
        <v>257720</v>
      </c>
      <c r="D44" t="s">
        <v>180</v>
      </c>
      <c r="E44" s="67" t="s">
        <v>245</v>
      </c>
      <c r="I44" s="45">
        <v>50</v>
      </c>
      <c r="J44" s="45" t="s">
        <v>183</v>
      </c>
      <c r="L44" s="45">
        <v>114000</v>
      </c>
      <c r="M44" t="s">
        <v>151</v>
      </c>
      <c r="N44" s="45">
        <v>226019</v>
      </c>
      <c r="O44" t="s">
        <v>250</v>
      </c>
      <c r="P44" s="45">
        <v>1160</v>
      </c>
      <c r="Q44" s="45">
        <v>83500</v>
      </c>
      <c r="R44" s="45">
        <v>100</v>
      </c>
      <c r="S44" s="45">
        <v>100</v>
      </c>
      <c r="T44" s="26">
        <v>0</v>
      </c>
      <c r="U44">
        <v>210025</v>
      </c>
      <c r="V44" t="s">
        <v>162</v>
      </c>
    </row>
    <row r="45" spans="1:22" ht="17.100000000000001" hidden="1">
      <c r="A45" s="45" t="s">
        <v>148</v>
      </c>
      <c r="B45" s="45" t="s">
        <v>179</v>
      </c>
      <c r="C45" s="45">
        <v>257722</v>
      </c>
      <c r="D45" t="s">
        <v>180</v>
      </c>
      <c r="E45" s="67" t="s">
        <v>245</v>
      </c>
      <c r="I45" s="45">
        <v>20</v>
      </c>
      <c r="J45" s="45" t="s">
        <v>183</v>
      </c>
      <c r="L45" s="45">
        <v>114000</v>
      </c>
      <c r="M45" t="s">
        <v>151</v>
      </c>
      <c r="N45" s="45">
        <v>226014</v>
      </c>
      <c r="O45" t="s">
        <v>251</v>
      </c>
      <c r="P45" s="45">
        <v>1160</v>
      </c>
      <c r="Q45" s="45">
        <v>83500</v>
      </c>
      <c r="R45" s="45">
        <v>100</v>
      </c>
      <c r="S45" s="45">
        <v>100</v>
      </c>
      <c r="T45" s="26">
        <v>0</v>
      </c>
      <c r="U45">
        <v>210025</v>
      </c>
      <c r="V45" t="s">
        <v>162</v>
      </c>
    </row>
    <row r="46" spans="1:22" ht="17.100000000000001" hidden="1">
      <c r="A46" s="45" t="s">
        <v>148</v>
      </c>
      <c r="B46" s="45" t="s">
        <v>179</v>
      </c>
      <c r="C46" s="45">
        <v>257727</v>
      </c>
      <c r="D46" t="s">
        <v>180</v>
      </c>
      <c r="E46" s="67" t="s">
        <v>245</v>
      </c>
      <c r="I46" s="45">
        <v>30</v>
      </c>
      <c r="J46" s="45" t="s">
        <v>183</v>
      </c>
      <c r="L46" s="45">
        <v>114000</v>
      </c>
      <c r="M46" t="s">
        <v>151</v>
      </c>
      <c r="N46" s="45">
        <v>226006</v>
      </c>
      <c r="O46" t="s">
        <v>252</v>
      </c>
      <c r="P46" s="45">
        <v>1160</v>
      </c>
      <c r="Q46" s="45">
        <v>83500</v>
      </c>
      <c r="R46" s="45">
        <v>100</v>
      </c>
      <c r="S46" s="45">
        <v>100</v>
      </c>
      <c r="T46" s="26">
        <v>0</v>
      </c>
      <c r="U46">
        <v>210025</v>
      </c>
      <c r="V46" t="s">
        <v>162</v>
      </c>
    </row>
    <row r="47" spans="1:22" ht="17.100000000000001" hidden="1">
      <c r="A47" s="45" t="s">
        <v>148</v>
      </c>
      <c r="B47" s="45" t="s">
        <v>179</v>
      </c>
      <c r="C47" s="45">
        <v>257729</v>
      </c>
      <c r="D47" t="s">
        <v>180</v>
      </c>
      <c r="E47" s="67" t="s">
        <v>245</v>
      </c>
      <c r="I47" s="45">
        <v>20</v>
      </c>
      <c r="J47" s="45" t="s">
        <v>183</v>
      </c>
      <c r="L47" s="45">
        <v>114000</v>
      </c>
      <c r="M47" t="s">
        <v>151</v>
      </c>
      <c r="N47" s="45">
        <v>226005</v>
      </c>
      <c r="O47" t="s">
        <v>247</v>
      </c>
      <c r="P47" s="45">
        <v>1160</v>
      </c>
      <c r="Q47" s="45">
        <v>83500</v>
      </c>
      <c r="R47" s="45">
        <v>100</v>
      </c>
      <c r="S47" s="45">
        <v>100</v>
      </c>
      <c r="T47" s="26">
        <v>0</v>
      </c>
      <c r="U47">
        <v>210025</v>
      </c>
      <c r="V47" t="s">
        <v>162</v>
      </c>
    </row>
    <row r="48" spans="1:22" ht="18" hidden="1" customHeight="1">
      <c r="A48" s="45" t="s">
        <v>148</v>
      </c>
      <c r="B48" s="45" t="s">
        <v>179</v>
      </c>
      <c r="C48" s="45">
        <v>257731</v>
      </c>
      <c r="D48" t="s">
        <v>180</v>
      </c>
      <c r="E48" s="67" t="s">
        <v>245</v>
      </c>
      <c r="I48" s="45">
        <v>20</v>
      </c>
      <c r="J48" s="45" t="s">
        <v>183</v>
      </c>
      <c r="L48" s="45">
        <v>114000</v>
      </c>
      <c r="M48" t="s">
        <v>151</v>
      </c>
      <c r="N48" s="45">
        <v>226007</v>
      </c>
      <c r="O48" t="s">
        <v>253</v>
      </c>
      <c r="P48" s="45">
        <v>1160</v>
      </c>
      <c r="Q48" s="45">
        <v>83500</v>
      </c>
      <c r="R48" s="45">
        <v>100</v>
      </c>
      <c r="S48" s="45">
        <v>100</v>
      </c>
      <c r="T48" s="26">
        <v>0</v>
      </c>
      <c r="U48">
        <v>210025</v>
      </c>
      <c r="V48" t="s">
        <v>162</v>
      </c>
    </row>
    <row r="49" spans="1:22" ht="17.100000000000001" hidden="1">
      <c r="A49" s="45" t="s">
        <v>148</v>
      </c>
      <c r="B49" s="45" t="s">
        <v>179</v>
      </c>
      <c r="C49" s="45">
        <v>257733</v>
      </c>
      <c r="D49" t="s">
        <v>180</v>
      </c>
      <c r="E49" s="67" t="s">
        <v>245</v>
      </c>
      <c r="I49" s="45">
        <v>20</v>
      </c>
      <c r="J49" s="45" t="s">
        <v>183</v>
      </c>
      <c r="L49" s="45">
        <v>114000</v>
      </c>
      <c r="M49" t="s">
        <v>151</v>
      </c>
      <c r="N49" s="45">
        <v>226017</v>
      </c>
      <c r="O49" t="s">
        <v>254</v>
      </c>
      <c r="P49" s="45">
        <v>1160</v>
      </c>
      <c r="Q49" s="45">
        <v>83500</v>
      </c>
      <c r="R49" s="45">
        <v>50</v>
      </c>
      <c r="S49" s="45">
        <v>100</v>
      </c>
      <c r="T49" s="26">
        <v>0</v>
      </c>
      <c r="U49">
        <v>210025</v>
      </c>
      <c r="V49" t="s">
        <v>162</v>
      </c>
    </row>
    <row r="50" spans="1:22" ht="17.100000000000001" hidden="1">
      <c r="A50" s="45" t="s">
        <v>148</v>
      </c>
      <c r="B50" s="45" t="s">
        <v>179</v>
      </c>
      <c r="C50" s="45">
        <v>257733</v>
      </c>
      <c r="D50" t="s">
        <v>180</v>
      </c>
      <c r="E50" s="67" t="s">
        <v>245</v>
      </c>
      <c r="I50" s="45">
        <v>20</v>
      </c>
      <c r="J50" s="45" t="s">
        <v>183</v>
      </c>
      <c r="L50" s="45">
        <v>114000</v>
      </c>
      <c r="M50" t="s">
        <v>151</v>
      </c>
      <c r="N50" s="45">
        <v>226016</v>
      </c>
      <c r="O50" t="s">
        <v>255</v>
      </c>
      <c r="P50" s="45">
        <v>1160</v>
      </c>
      <c r="Q50" s="45">
        <v>83500</v>
      </c>
      <c r="R50" s="45">
        <v>50</v>
      </c>
      <c r="S50" s="45">
        <v>100</v>
      </c>
      <c r="T50" s="26">
        <v>0</v>
      </c>
      <c r="U50">
        <v>210025</v>
      </c>
      <c r="V50" t="s">
        <v>162</v>
      </c>
    </row>
    <row r="51" spans="1:22" ht="17.100000000000001" hidden="1">
      <c r="A51" s="45" t="s">
        <v>148</v>
      </c>
      <c r="B51" s="45" t="s">
        <v>179</v>
      </c>
      <c r="C51" s="45">
        <v>257734</v>
      </c>
      <c r="D51" t="s">
        <v>180</v>
      </c>
      <c r="E51" s="67" t="s">
        <v>245</v>
      </c>
      <c r="I51" s="45">
        <v>20</v>
      </c>
      <c r="J51" s="45" t="s">
        <v>183</v>
      </c>
      <c r="L51" s="45">
        <v>114000</v>
      </c>
      <c r="M51" t="s">
        <v>151</v>
      </c>
      <c r="N51" s="45">
        <v>226010</v>
      </c>
      <c r="O51" t="s">
        <v>256</v>
      </c>
      <c r="P51" s="45">
        <v>1160</v>
      </c>
      <c r="Q51" s="45">
        <v>83500</v>
      </c>
      <c r="R51" s="45">
        <v>50</v>
      </c>
      <c r="S51" s="45">
        <v>100</v>
      </c>
      <c r="T51" s="26">
        <v>0</v>
      </c>
      <c r="U51">
        <v>210025</v>
      </c>
      <c r="V51" t="s">
        <v>162</v>
      </c>
    </row>
    <row r="52" spans="1:22" ht="17.100000000000001" hidden="1">
      <c r="A52" s="45" t="s">
        <v>148</v>
      </c>
      <c r="B52" s="45" t="s">
        <v>179</v>
      </c>
      <c r="C52" s="45">
        <v>257734</v>
      </c>
      <c r="D52" t="s">
        <v>180</v>
      </c>
      <c r="E52" s="67" t="s">
        <v>245</v>
      </c>
      <c r="I52" s="45">
        <v>20</v>
      </c>
      <c r="J52" s="45" t="s">
        <v>183</v>
      </c>
      <c r="L52" s="45">
        <v>114000</v>
      </c>
      <c r="M52" t="s">
        <v>151</v>
      </c>
      <c r="N52" s="45">
        <v>226010</v>
      </c>
      <c r="O52" t="s">
        <v>256</v>
      </c>
      <c r="P52" s="45">
        <v>1160</v>
      </c>
      <c r="Q52" s="45">
        <v>83500</v>
      </c>
      <c r="R52" s="45">
        <v>50</v>
      </c>
      <c r="S52" s="45">
        <v>100</v>
      </c>
      <c r="T52" s="26">
        <v>0</v>
      </c>
      <c r="U52">
        <v>210025</v>
      </c>
      <c r="V52" t="s">
        <v>162</v>
      </c>
    </row>
    <row r="53" spans="1:22" ht="17.100000000000001" hidden="1">
      <c r="A53" s="45" t="s">
        <v>148</v>
      </c>
      <c r="B53" s="45" t="s">
        <v>210</v>
      </c>
      <c r="C53" s="45">
        <v>257706</v>
      </c>
      <c r="D53" t="s">
        <v>257</v>
      </c>
      <c r="E53" s="67" t="s">
        <v>245</v>
      </c>
      <c r="I53" s="45">
        <v>30</v>
      </c>
      <c r="J53" s="45" t="s">
        <v>212</v>
      </c>
      <c r="L53" s="45">
        <v>114000</v>
      </c>
      <c r="M53" t="s">
        <v>151</v>
      </c>
      <c r="N53" s="45">
        <v>223002</v>
      </c>
      <c r="O53" t="s">
        <v>258</v>
      </c>
      <c r="P53" s="45">
        <v>1250</v>
      </c>
      <c r="Q53" s="45">
        <v>696000</v>
      </c>
      <c r="R53" s="45">
        <v>100</v>
      </c>
      <c r="S53" s="45">
        <v>100</v>
      </c>
      <c r="T53" s="26">
        <v>0</v>
      </c>
      <c r="U53">
        <v>210002</v>
      </c>
      <c r="V53" t="s">
        <v>239</v>
      </c>
    </row>
    <row r="54" spans="1:22" ht="17.100000000000001" hidden="1">
      <c r="A54" s="45" t="s">
        <v>148</v>
      </c>
      <c r="B54" s="45" t="s">
        <v>210</v>
      </c>
      <c r="C54" s="45">
        <v>257714</v>
      </c>
      <c r="D54" t="s">
        <v>259</v>
      </c>
      <c r="E54" s="67" t="s">
        <v>245</v>
      </c>
      <c r="I54" s="45">
        <v>20</v>
      </c>
      <c r="J54" s="45" t="s">
        <v>212</v>
      </c>
      <c r="L54" s="45">
        <v>114000</v>
      </c>
      <c r="M54" t="s">
        <v>151</v>
      </c>
      <c r="N54" s="45">
        <v>237001</v>
      </c>
      <c r="O54" t="s">
        <v>260</v>
      </c>
      <c r="P54" s="45">
        <v>1250</v>
      </c>
      <c r="Q54" s="45">
        <v>601000</v>
      </c>
      <c r="R54" s="45">
        <v>100</v>
      </c>
      <c r="S54" s="45">
        <v>100</v>
      </c>
      <c r="T54" s="26">
        <v>0</v>
      </c>
      <c r="U54">
        <v>210038</v>
      </c>
      <c r="V54" t="s">
        <v>157</v>
      </c>
    </row>
    <row r="55" spans="1:22" ht="17.100000000000001" hidden="1">
      <c r="A55" s="45" t="s">
        <v>148</v>
      </c>
      <c r="B55" s="45" t="s">
        <v>210</v>
      </c>
      <c r="C55" s="45">
        <v>257717</v>
      </c>
      <c r="D55" t="s">
        <v>261</v>
      </c>
      <c r="E55" s="67" t="s">
        <v>245</v>
      </c>
      <c r="I55" s="45">
        <v>40</v>
      </c>
      <c r="J55" s="45" t="s">
        <v>212</v>
      </c>
      <c r="K55" s="45">
        <v>240033</v>
      </c>
      <c r="L55" s="45">
        <v>114000</v>
      </c>
      <c r="M55" t="s">
        <v>151</v>
      </c>
      <c r="N55" s="45">
        <v>222001</v>
      </c>
      <c r="O55" t="s">
        <v>262</v>
      </c>
      <c r="P55" s="45">
        <v>1250</v>
      </c>
      <c r="Q55" s="45">
        <v>631000</v>
      </c>
      <c r="R55" s="45">
        <v>100</v>
      </c>
      <c r="S55" s="45">
        <v>100</v>
      </c>
      <c r="T55" s="26">
        <v>0</v>
      </c>
      <c r="U55">
        <v>210013</v>
      </c>
      <c r="V55" t="s">
        <v>263</v>
      </c>
    </row>
    <row r="56" spans="1:22" ht="17.100000000000001" hidden="1">
      <c r="A56" s="45" t="s">
        <v>148</v>
      </c>
      <c r="B56" s="45" t="s">
        <v>210</v>
      </c>
      <c r="C56" s="45">
        <v>257730</v>
      </c>
      <c r="D56" t="s">
        <v>233</v>
      </c>
      <c r="E56" s="67" t="s">
        <v>245</v>
      </c>
      <c r="I56" s="45">
        <v>30</v>
      </c>
      <c r="J56" s="45" t="s">
        <v>235</v>
      </c>
      <c r="L56" s="45">
        <v>114000</v>
      </c>
      <c r="M56" t="s">
        <v>151</v>
      </c>
      <c r="N56" s="45">
        <v>226001</v>
      </c>
      <c r="O56" t="s">
        <v>161</v>
      </c>
      <c r="P56" s="45">
        <v>1250</v>
      </c>
      <c r="Q56" s="45">
        <v>83500</v>
      </c>
      <c r="R56" s="45">
        <v>100</v>
      </c>
      <c r="S56" s="45">
        <v>100</v>
      </c>
      <c r="T56" s="26">
        <v>0</v>
      </c>
      <c r="U56">
        <v>210025</v>
      </c>
      <c r="V56" t="s">
        <v>162</v>
      </c>
    </row>
    <row r="57" spans="1:22" ht="17.100000000000001" hidden="1">
      <c r="A57" s="45" t="s">
        <v>148</v>
      </c>
      <c r="B57" s="45" t="s">
        <v>210</v>
      </c>
      <c r="C57" s="45">
        <v>257732</v>
      </c>
      <c r="D57" t="s">
        <v>264</v>
      </c>
      <c r="E57" s="67" t="s">
        <v>245</v>
      </c>
      <c r="I57" s="45">
        <v>50</v>
      </c>
      <c r="J57" s="45" t="s">
        <v>212</v>
      </c>
      <c r="K57" s="45">
        <v>240127</v>
      </c>
      <c r="L57" s="45">
        <v>114000</v>
      </c>
      <c r="M57" t="s">
        <v>151</v>
      </c>
      <c r="N57" s="45">
        <v>234501</v>
      </c>
      <c r="O57" t="s">
        <v>213</v>
      </c>
      <c r="P57" s="45">
        <v>1250</v>
      </c>
      <c r="Q57" s="45">
        <v>612000</v>
      </c>
      <c r="R57" s="45">
        <v>100</v>
      </c>
      <c r="S57" s="45">
        <v>100</v>
      </c>
      <c r="T57" s="26">
        <v>0</v>
      </c>
      <c r="U57">
        <v>210355</v>
      </c>
      <c r="V57" t="s">
        <v>265</v>
      </c>
    </row>
    <row r="58" spans="1:22" ht="17.100000000000001" hidden="1">
      <c r="A58" s="45" t="s">
        <v>148</v>
      </c>
      <c r="B58" s="45" t="s">
        <v>210</v>
      </c>
      <c r="C58" s="45">
        <v>257756</v>
      </c>
      <c r="D58" t="s">
        <v>266</v>
      </c>
      <c r="E58" s="67" t="s">
        <v>245</v>
      </c>
      <c r="I58" s="45">
        <v>50</v>
      </c>
      <c r="J58" s="45" t="s">
        <v>235</v>
      </c>
      <c r="L58" s="45">
        <v>114000</v>
      </c>
      <c r="M58" t="s">
        <v>151</v>
      </c>
      <c r="N58" s="45">
        <v>223002</v>
      </c>
      <c r="O58" t="s">
        <v>258</v>
      </c>
      <c r="P58" s="45">
        <v>1250</v>
      </c>
      <c r="Q58" s="45">
        <v>601000</v>
      </c>
      <c r="R58" s="45">
        <v>100</v>
      </c>
      <c r="S58" s="45">
        <v>100</v>
      </c>
      <c r="T58" s="26">
        <v>0</v>
      </c>
      <c r="U58">
        <v>210029</v>
      </c>
      <c r="V58" t="s">
        <v>267</v>
      </c>
    </row>
    <row r="59" spans="1:22" ht="17.100000000000001" hidden="1">
      <c r="A59" s="45" t="s">
        <v>148</v>
      </c>
      <c r="B59" s="45" t="s">
        <v>210</v>
      </c>
      <c r="C59" s="45">
        <v>257757</v>
      </c>
      <c r="D59" t="s">
        <v>266</v>
      </c>
      <c r="E59" s="67" t="s">
        <v>245</v>
      </c>
      <c r="I59" s="45">
        <v>50</v>
      </c>
      <c r="J59" s="45" t="s">
        <v>235</v>
      </c>
      <c r="L59" s="45">
        <v>114000</v>
      </c>
      <c r="M59" t="s">
        <v>151</v>
      </c>
      <c r="N59" s="45">
        <v>223002</v>
      </c>
      <c r="O59" t="s">
        <v>258</v>
      </c>
      <c r="P59" s="45">
        <v>1250</v>
      </c>
      <c r="Q59" s="45">
        <v>601000</v>
      </c>
      <c r="R59" s="45">
        <v>100</v>
      </c>
      <c r="S59" s="45">
        <v>100</v>
      </c>
      <c r="T59" s="26">
        <v>0</v>
      </c>
      <c r="U59">
        <v>210029</v>
      </c>
      <c r="V59" t="s">
        <v>267</v>
      </c>
    </row>
    <row r="60" spans="1:22" ht="17.100000000000001" hidden="1">
      <c r="A60" s="45" t="s">
        <v>148</v>
      </c>
      <c r="B60" s="45" t="s">
        <v>210</v>
      </c>
      <c r="C60" s="45">
        <v>257758</v>
      </c>
      <c r="D60" t="s">
        <v>261</v>
      </c>
      <c r="E60" s="67" t="s">
        <v>245</v>
      </c>
      <c r="I60" s="45">
        <v>40</v>
      </c>
      <c r="J60" s="45" t="s">
        <v>212</v>
      </c>
      <c r="K60" s="45">
        <v>240033</v>
      </c>
      <c r="L60" s="45">
        <v>114000</v>
      </c>
      <c r="M60" t="s">
        <v>151</v>
      </c>
      <c r="N60" s="45">
        <v>222001</v>
      </c>
      <c r="O60" t="s">
        <v>262</v>
      </c>
      <c r="P60" s="45">
        <v>1250</v>
      </c>
      <c r="Q60" s="45">
        <v>631000</v>
      </c>
      <c r="R60" s="45">
        <v>100</v>
      </c>
      <c r="S60" s="45">
        <v>100</v>
      </c>
      <c r="T60" s="26">
        <v>0</v>
      </c>
      <c r="U60">
        <v>210013</v>
      </c>
      <c r="V60" t="s">
        <v>263</v>
      </c>
    </row>
    <row r="61" spans="1:22" hidden="1">
      <c r="T61" s="26"/>
    </row>
    <row r="62" spans="1:22" ht="18.95" hidden="1">
      <c r="A62" s="97" t="s">
        <v>268</v>
      </c>
      <c r="T62" s="26"/>
    </row>
    <row r="63" spans="1:22" ht="51" hidden="1">
      <c r="A63" s="45" t="s">
        <v>148</v>
      </c>
      <c r="B63" s="45" t="s">
        <v>210</v>
      </c>
      <c r="C63" s="45">
        <v>259901</v>
      </c>
      <c r="D63" t="s">
        <v>261</v>
      </c>
      <c r="E63" s="67" t="s">
        <v>269</v>
      </c>
      <c r="F63" s="67" t="s">
        <v>270</v>
      </c>
      <c r="G63" s="98" t="s">
        <v>271</v>
      </c>
      <c r="I63" s="45">
        <v>30</v>
      </c>
      <c r="J63" s="45" t="s">
        <v>212</v>
      </c>
      <c r="L63" s="45">
        <v>114000</v>
      </c>
      <c r="M63" t="s">
        <v>151</v>
      </c>
      <c r="N63" s="45">
        <v>222002</v>
      </c>
      <c r="O63" t="s">
        <v>272</v>
      </c>
      <c r="P63" s="45">
        <v>1160</v>
      </c>
      <c r="Q63" s="45">
        <v>493013</v>
      </c>
      <c r="R63" s="45">
        <v>20</v>
      </c>
      <c r="S63" s="45">
        <v>100</v>
      </c>
      <c r="T63" s="25">
        <v>0</v>
      </c>
      <c r="U63">
        <v>210013</v>
      </c>
      <c r="V63" t="s">
        <v>263</v>
      </c>
    </row>
    <row r="64" spans="1:22" ht="51" hidden="1">
      <c r="A64" s="45" t="s">
        <v>148</v>
      </c>
      <c r="B64" s="45" t="s">
        <v>210</v>
      </c>
      <c r="C64" s="45">
        <v>259901</v>
      </c>
      <c r="D64" t="s">
        <v>261</v>
      </c>
      <c r="E64" s="67" t="s">
        <v>269</v>
      </c>
      <c r="F64" s="67" t="s">
        <v>270</v>
      </c>
      <c r="G64" s="98" t="s">
        <v>271</v>
      </c>
      <c r="I64" s="45">
        <v>30</v>
      </c>
      <c r="J64" s="45" t="s">
        <v>212</v>
      </c>
      <c r="L64" s="45">
        <v>114000</v>
      </c>
      <c r="M64" t="s">
        <v>151</v>
      </c>
      <c r="N64" s="45">
        <v>222001</v>
      </c>
      <c r="O64" t="s">
        <v>262</v>
      </c>
      <c r="P64" s="45">
        <v>1260</v>
      </c>
      <c r="Q64" s="45">
        <v>631000</v>
      </c>
      <c r="R64" s="45">
        <v>70</v>
      </c>
      <c r="S64" s="45">
        <v>100</v>
      </c>
      <c r="T64" s="25">
        <v>0</v>
      </c>
      <c r="U64">
        <v>210013</v>
      </c>
      <c r="V64" t="s">
        <v>263</v>
      </c>
    </row>
    <row r="65" spans="1:22" ht="51" hidden="1">
      <c r="A65" s="45" t="s">
        <v>148</v>
      </c>
      <c r="B65" s="45" t="s">
        <v>179</v>
      </c>
      <c r="C65" s="45">
        <v>259913</v>
      </c>
      <c r="D65" t="s">
        <v>273</v>
      </c>
      <c r="E65" s="67" t="s">
        <v>269</v>
      </c>
      <c r="F65" s="67" t="s">
        <v>274</v>
      </c>
      <c r="G65" s="66" t="s">
        <v>275</v>
      </c>
      <c r="I65" s="45">
        <v>50</v>
      </c>
      <c r="J65" s="45" t="s">
        <v>183</v>
      </c>
      <c r="K65" s="45">
        <v>240131</v>
      </c>
      <c r="L65" s="45">
        <v>114000</v>
      </c>
      <c r="M65" t="s">
        <v>151</v>
      </c>
      <c r="N65" s="45">
        <v>235004</v>
      </c>
      <c r="O65" t="s">
        <v>226</v>
      </c>
      <c r="P65" s="45">
        <v>1160</v>
      </c>
      <c r="Q65" s="45">
        <v>170100</v>
      </c>
      <c r="R65" s="45">
        <v>100</v>
      </c>
      <c r="S65" s="45">
        <v>100</v>
      </c>
      <c r="T65" s="26">
        <v>0</v>
      </c>
      <c r="U65">
        <v>210008</v>
      </c>
      <c r="V65" t="s">
        <v>168</v>
      </c>
    </row>
    <row r="66" spans="1:22" ht="17.100000000000001" hidden="1">
      <c r="A66" s="45" t="s">
        <v>148</v>
      </c>
      <c r="B66" s="45" t="s">
        <v>276</v>
      </c>
      <c r="C66" s="45">
        <v>491001</v>
      </c>
      <c r="D66" t="s">
        <v>277</v>
      </c>
      <c r="E66" s="67" t="s">
        <v>278</v>
      </c>
      <c r="I66" s="45">
        <v>50</v>
      </c>
      <c r="J66" s="45" t="s">
        <v>279</v>
      </c>
      <c r="L66" s="45">
        <v>114000</v>
      </c>
      <c r="M66" t="s">
        <v>151</v>
      </c>
      <c r="N66" s="45">
        <v>200003</v>
      </c>
      <c r="O66" t="s">
        <v>280</v>
      </c>
      <c r="P66" s="45">
        <v>1430</v>
      </c>
      <c r="Q66" s="45">
        <v>673000</v>
      </c>
      <c r="R66" s="45">
        <v>100</v>
      </c>
      <c r="S66" s="45">
        <v>100</v>
      </c>
      <c r="T66" s="25">
        <v>0</v>
      </c>
      <c r="U66">
        <v>210008</v>
      </c>
      <c r="V66" t="s">
        <v>168</v>
      </c>
    </row>
    <row r="67" spans="1:22" hidden="1"/>
    <row r="68" spans="1:22" ht="18.95" hidden="1">
      <c r="A68" s="97" t="s">
        <v>281</v>
      </c>
    </row>
    <row r="69" spans="1:22" hidden="1">
      <c r="A69" s="45" t="s">
        <v>148</v>
      </c>
      <c r="B69" s="45" t="s">
        <v>282</v>
      </c>
      <c r="C69" s="45">
        <v>253301</v>
      </c>
      <c r="D69" t="s">
        <v>283</v>
      </c>
      <c r="I69" s="45">
        <v>30</v>
      </c>
      <c r="J69" s="45" t="s">
        <v>282</v>
      </c>
      <c r="L69" s="45">
        <v>114000</v>
      </c>
      <c r="M69" t="s">
        <v>151</v>
      </c>
      <c r="N69" s="45">
        <v>236503</v>
      </c>
      <c r="O69" t="s">
        <v>171</v>
      </c>
      <c r="P69" s="45">
        <v>1160</v>
      </c>
      <c r="Q69" s="45">
        <v>94800</v>
      </c>
      <c r="R69" s="45">
        <v>100</v>
      </c>
      <c r="S69" s="45">
        <v>100</v>
      </c>
      <c r="T69" s="25">
        <v>0</v>
      </c>
      <c r="U69">
        <v>210021</v>
      </c>
      <c r="V69" t="s">
        <v>172</v>
      </c>
    </row>
    <row r="70" spans="1:22" hidden="1">
      <c r="A70" s="45" t="s">
        <v>148</v>
      </c>
      <c r="B70" s="45" t="s">
        <v>282</v>
      </c>
      <c r="C70" s="45">
        <v>253303</v>
      </c>
      <c r="D70" t="s">
        <v>283</v>
      </c>
      <c r="I70" s="45">
        <v>50</v>
      </c>
      <c r="J70" s="45" t="s">
        <v>282</v>
      </c>
      <c r="L70" s="45">
        <v>114000</v>
      </c>
      <c r="M70" t="s">
        <v>151</v>
      </c>
      <c r="N70" s="45">
        <v>235004</v>
      </c>
      <c r="O70" t="s">
        <v>226</v>
      </c>
      <c r="P70" s="45">
        <v>1160</v>
      </c>
      <c r="Q70" s="45">
        <v>170100</v>
      </c>
      <c r="R70" s="45">
        <v>100</v>
      </c>
      <c r="S70" s="45">
        <v>100</v>
      </c>
      <c r="T70" s="25">
        <v>0</v>
      </c>
      <c r="U70">
        <v>210008</v>
      </c>
      <c r="V70" t="s">
        <v>168</v>
      </c>
    </row>
    <row r="71" spans="1:22" hidden="1">
      <c r="A71" s="45" t="s">
        <v>148</v>
      </c>
      <c r="B71" s="45" t="s">
        <v>282</v>
      </c>
      <c r="C71" s="45">
        <v>253305</v>
      </c>
      <c r="D71" t="s">
        <v>284</v>
      </c>
      <c r="I71" s="45">
        <v>50</v>
      </c>
      <c r="J71" s="45" t="s">
        <v>282</v>
      </c>
      <c r="L71" s="45">
        <v>114000</v>
      </c>
      <c r="M71" t="s">
        <v>151</v>
      </c>
      <c r="N71" s="45">
        <v>234501</v>
      </c>
      <c r="O71" t="s">
        <v>213</v>
      </c>
      <c r="P71" s="45">
        <v>1160</v>
      </c>
      <c r="Q71" s="45">
        <v>612000</v>
      </c>
      <c r="R71" s="45">
        <v>100</v>
      </c>
      <c r="S71" s="45">
        <v>100</v>
      </c>
      <c r="T71" s="25">
        <v>0</v>
      </c>
      <c r="U71">
        <v>210012</v>
      </c>
      <c r="V71" t="s">
        <v>153</v>
      </c>
    </row>
    <row r="72" spans="1:22" hidden="1">
      <c r="A72" s="45" t="s">
        <v>148</v>
      </c>
      <c r="B72" s="45" t="s">
        <v>282</v>
      </c>
      <c r="C72" s="45">
        <v>253316</v>
      </c>
      <c r="D72" t="s">
        <v>283</v>
      </c>
      <c r="I72" s="45">
        <v>40</v>
      </c>
      <c r="J72" s="45" t="s">
        <v>282</v>
      </c>
      <c r="L72" s="45">
        <v>114000</v>
      </c>
      <c r="M72" t="s">
        <v>151</v>
      </c>
      <c r="N72" s="45">
        <v>238008</v>
      </c>
      <c r="O72" t="s">
        <v>285</v>
      </c>
      <c r="P72" s="45">
        <v>1160</v>
      </c>
      <c r="Q72" s="45">
        <v>150100</v>
      </c>
      <c r="R72" s="45">
        <v>100</v>
      </c>
      <c r="S72" s="45">
        <v>100</v>
      </c>
      <c r="T72" s="25">
        <v>0</v>
      </c>
      <c r="U72">
        <v>210011</v>
      </c>
      <c r="V72" t="s">
        <v>195</v>
      </c>
    </row>
    <row r="73" spans="1:22" hidden="1">
      <c r="A73" s="45" t="s">
        <v>148</v>
      </c>
      <c r="B73" s="45" t="s">
        <v>282</v>
      </c>
      <c r="C73" s="45">
        <v>253322</v>
      </c>
      <c r="D73" t="s">
        <v>286</v>
      </c>
      <c r="I73" s="45">
        <v>50</v>
      </c>
      <c r="J73" s="45" t="s">
        <v>282</v>
      </c>
      <c r="K73" s="45">
        <v>240177</v>
      </c>
      <c r="L73" s="45">
        <v>114000</v>
      </c>
      <c r="M73" t="s">
        <v>151</v>
      </c>
      <c r="N73" s="45">
        <v>239006</v>
      </c>
      <c r="O73" t="s">
        <v>287</v>
      </c>
      <c r="P73" s="45">
        <v>1160</v>
      </c>
      <c r="Q73" s="45">
        <v>200100</v>
      </c>
      <c r="R73" s="45">
        <v>100</v>
      </c>
      <c r="S73" s="45">
        <v>100</v>
      </c>
      <c r="T73" s="25">
        <v>0</v>
      </c>
      <c r="U73">
        <v>210032</v>
      </c>
      <c r="V73" t="s">
        <v>203</v>
      </c>
    </row>
    <row r="74" spans="1:22" hidden="1">
      <c r="A74" s="45" t="s">
        <v>148</v>
      </c>
      <c r="B74" s="45" t="s">
        <v>282</v>
      </c>
      <c r="C74" s="45">
        <v>253332</v>
      </c>
      <c r="D74" t="s">
        <v>284</v>
      </c>
      <c r="I74" s="45">
        <v>50</v>
      </c>
      <c r="J74" s="45" t="s">
        <v>282</v>
      </c>
      <c r="K74" s="45">
        <v>240043</v>
      </c>
      <c r="L74" s="45">
        <v>114000</v>
      </c>
      <c r="M74" t="s">
        <v>151</v>
      </c>
      <c r="N74" s="45">
        <v>222011</v>
      </c>
      <c r="O74" t="s">
        <v>288</v>
      </c>
      <c r="P74" s="45">
        <v>1260</v>
      </c>
      <c r="Q74" s="45">
        <v>631000</v>
      </c>
      <c r="R74" s="45">
        <v>100</v>
      </c>
      <c r="S74" s="45">
        <v>100</v>
      </c>
      <c r="T74" s="25">
        <v>0</v>
      </c>
      <c r="U74">
        <v>210013</v>
      </c>
      <c r="V74" t="s">
        <v>263</v>
      </c>
    </row>
    <row r="75" spans="1:22" hidden="1">
      <c r="A75" s="45" t="s">
        <v>148</v>
      </c>
      <c r="B75" s="45" t="s">
        <v>282</v>
      </c>
      <c r="C75" s="45">
        <v>253335</v>
      </c>
      <c r="D75" t="s">
        <v>286</v>
      </c>
      <c r="I75" s="45">
        <v>10</v>
      </c>
      <c r="J75" s="45" t="s">
        <v>282</v>
      </c>
      <c r="K75" s="45">
        <v>240124</v>
      </c>
      <c r="L75" s="45">
        <v>114000</v>
      </c>
      <c r="M75" t="s">
        <v>151</v>
      </c>
      <c r="N75" s="45">
        <v>234003</v>
      </c>
      <c r="O75" t="s">
        <v>207</v>
      </c>
      <c r="P75" s="45">
        <v>1160</v>
      </c>
      <c r="Q75" s="45">
        <v>220300</v>
      </c>
      <c r="R75" s="45">
        <v>100</v>
      </c>
      <c r="S75" s="45">
        <v>100</v>
      </c>
      <c r="T75" s="25">
        <v>0</v>
      </c>
      <c r="U75">
        <v>210080</v>
      </c>
      <c r="V75" t="s">
        <v>223</v>
      </c>
    </row>
    <row r="76" spans="1:22" hidden="1">
      <c r="A76" s="45" t="s">
        <v>148</v>
      </c>
      <c r="B76" s="45" t="s">
        <v>282</v>
      </c>
      <c r="C76" s="45">
        <v>253337</v>
      </c>
      <c r="D76" t="s">
        <v>283</v>
      </c>
      <c r="I76" s="45">
        <v>50</v>
      </c>
      <c r="J76" s="45" t="s">
        <v>282</v>
      </c>
      <c r="L76" s="45">
        <v>114000</v>
      </c>
      <c r="M76" t="s">
        <v>151</v>
      </c>
      <c r="N76" s="45">
        <v>238005</v>
      </c>
      <c r="O76" t="s">
        <v>194</v>
      </c>
      <c r="P76" s="45">
        <v>1160</v>
      </c>
      <c r="Q76" s="45">
        <v>150100</v>
      </c>
      <c r="R76" s="45">
        <v>100</v>
      </c>
      <c r="S76" s="45">
        <v>100</v>
      </c>
      <c r="T76" s="25">
        <v>0</v>
      </c>
      <c r="U76">
        <v>210011</v>
      </c>
      <c r="V76" t="s">
        <v>195</v>
      </c>
    </row>
    <row r="77" spans="1:22" hidden="1">
      <c r="A77" s="45" t="s">
        <v>148</v>
      </c>
      <c r="B77" s="45" t="s">
        <v>282</v>
      </c>
      <c r="C77" s="45">
        <v>253338</v>
      </c>
      <c r="D77" t="s">
        <v>283</v>
      </c>
      <c r="I77" s="45">
        <v>50</v>
      </c>
      <c r="J77" s="45" t="s">
        <v>282</v>
      </c>
      <c r="K77" s="45">
        <v>240139</v>
      </c>
      <c r="L77" s="45">
        <v>114000</v>
      </c>
      <c r="M77" t="s">
        <v>151</v>
      </c>
      <c r="N77" s="45">
        <v>236002</v>
      </c>
      <c r="O77" t="s">
        <v>289</v>
      </c>
      <c r="P77" s="45">
        <v>1260</v>
      </c>
      <c r="Q77" s="45">
        <v>83500</v>
      </c>
      <c r="R77" s="45">
        <v>100</v>
      </c>
      <c r="S77" s="45">
        <v>100</v>
      </c>
      <c r="T77" s="25">
        <v>0</v>
      </c>
      <c r="U77">
        <v>210025</v>
      </c>
      <c r="V77" t="s">
        <v>162</v>
      </c>
    </row>
    <row r="78" spans="1:22" hidden="1">
      <c r="A78" s="45" t="s">
        <v>148</v>
      </c>
      <c r="B78" s="45" t="s">
        <v>282</v>
      </c>
      <c r="C78" s="45">
        <v>253339</v>
      </c>
      <c r="D78" t="s">
        <v>286</v>
      </c>
      <c r="I78" s="45">
        <v>50</v>
      </c>
      <c r="J78" s="45" t="s">
        <v>282</v>
      </c>
      <c r="K78" s="45">
        <v>240139</v>
      </c>
      <c r="L78" s="45">
        <v>114000</v>
      </c>
      <c r="M78" t="s">
        <v>151</v>
      </c>
      <c r="N78" s="45">
        <v>236002</v>
      </c>
      <c r="O78" t="s">
        <v>289</v>
      </c>
      <c r="P78" s="45">
        <v>1160</v>
      </c>
      <c r="Q78" s="45">
        <v>83500</v>
      </c>
      <c r="R78" s="45">
        <v>100</v>
      </c>
      <c r="S78" s="45">
        <v>100</v>
      </c>
      <c r="T78" s="25">
        <v>0</v>
      </c>
      <c r="U78">
        <v>210025</v>
      </c>
      <c r="V78" t="s">
        <v>162</v>
      </c>
    </row>
    <row r="79" spans="1:22" hidden="1">
      <c r="A79" s="45" t="s">
        <v>148</v>
      </c>
      <c r="B79" s="45" t="s">
        <v>282</v>
      </c>
      <c r="C79" s="45">
        <v>253349</v>
      </c>
      <c r="D79" t="s">
        <v>286</v>
      </c>
      <c r="I79" s="45">
        <v>40</v>
      </c>
      <c r="J79" s="45" t="s">
        <v>282</v>
      </c>
      <c r="L79" s="45">
        <v>114000</v>
      </c>
      <c r="M79" t="s">
        <v>151</v>
      </c>
      <c r="N79" s="45">
        <v>236002</v>
      </c>
      <c r="O79" t="s">
        <v>289</v>
      </c>
      <c r="P79" s="45">
        <v>1160</v>
      </c>
      <c r="Q79" s="45">
        <v>83500</v>
      </c>
      <c r="R79" s="45">
        <v>100</v>
      </c>
      <c r="S79" s="45">
        <v>100</v>
      </c>
      <c r="T79" s="25">
        <v>0</v>
      </c>
      <c r="U79">
        <v>210025</v>
      </c>
      <c r="V79" t="s">
        <v>162</v>
      </c>
    </row>
    <row r="80" spans="1:22" hidden="1">
      <c r="A80" s="45" t="s">
        <v>148</v>
      </c>
      <c r="B80" s="45" t="s">
        <v>282</v>
      </c>
      <c r="C80" s="45">
        <v>253382</v>
      </c>
      <c r="D80" t="s">
        <v>286</v>
      </c>
      <c r="I80" s="45">
        <v>50</v>
      </c>
      <c r="J80" s="45" t="s">
        <v>282</v>
      </c>
      <c r="L80" s="45">
        <v>114000</v>
      </c>
      <c r="M80" t="s">
        <v>151</v>
      </c>
      <c r="N80" s="45">
        <v>239010</v>
      </c>
      <c r="O80" t="s">
        <v>290</v>
      </c>
      <c r="P80" s="45">
        <v>1160</v>
      </c>
      <c r="Q80" s="45">
        <v>150900</v>
      </c>
      <c r="R80" s="45">
        <v>30</v>
      </c>
      <c r="S80" s="45">
        <v>100</v>
      </c>
      <c r="T80" s="25">
        <v>0</v>
      </c>
      <c r="U80">
        <v>210032</v>
      </c>
      <c r="V80" t="s">
        <v>203</v>
      </c>
    </row>
    <row r="81" spans="1:22" hidden="1">
      <c r="A81" s="45" t="s">
        <v>148</v>
      </c>
      <c r="B81" s="45" t="s">
        <v>282</v>
      </c>
      <c r="C81" s="45">
        <v>253382</v>
      </c>
      <c r="D81" t="s">
        <v>286</v>
      </c>
      <c r="I81" s="45">
        <v>50</v>
      </c>
      <c r="J81" s="45" t="s">
        <v>282</v>
      </c>
      <c r="L81" s="45">
        <v>114000</v>
      </c>
      <c r="M81" t="s">
        <v>151</v>
      </c>
      <c r="N81" s="45">
        <v>239015</v>
      </c>
      <c r="O81" t="s">
        <v>291</v>
      </c>
      <c r="P81" s="45">
        <v>1160</v>
      </c>
      <c r="Q81" s="45">
        <v>220400</v>
      </c>
      <c r="R81" s="45">
        <v>70</v>
      </c>
      <c r="S81" s="45">
        <v>100</v>
      </c>
      <c r="T81" s="25">
        <v>0</v>
      </c>
      <c r="U81">
        <v>210032</v>
      </c>
      <c r="V81" t="s">
        <v>203</v>
      </c>
    </row>
    <row r="82" spans="1:22" hidden="1">
      <c r="A82" s="45" t="s">
        <v>148</v>
      </c>
      <c r="B82" s="45" t="s">
        <v>282</v>
      </c>
      <c r="C82" s="45">
        <v>253392</v>
      </c>
      <c r="D82" t="s">
        <v>284</v>
      </c>
      <c r="I82" s="45">
        <v>20</v>
      </c>
      <c r="J82" s="45" t="s">
        <v>183</v>
      </c>
      <c r="L82" s="45">
        <v>114000</v>
      </c>
      <c r="M82" t="s">
        <v>151</v>
      </c>
      <c r="N82" s="45">
        <v>238005</v>
      </c>
      <c r="O82" t="s">
        <v>194</v>
      </c>
      <c r="P82" s="45">
        <v>1260</v>
      </c>
      <c r="Q82" s="45">
        <v>150100</v>
      </c>
      <c r="R82" s="45">
        <v>100</v>
      </c>
      <c r="S82" s="45">
        <v>100</v>
      </c>
      <c r="T82" s="25">
        <v>0</v>
      </c>
      <c r="U82">
        <v>210013</v>
      </c>
      <c r="V82" t="s">
        <v>263</v>
      </c>
    </row>
    <row r="83" spans="1:22" hidden="1">
      <c r="A83" s="45" t="s">
        <v>148</v>
      </c>
      <c r="B83" s="45" t="s">
        <v>282</v>
      </c>
      <c r="C83" s="45">
        <v>253396</v>
      </c>
      <c r="D83" t="s">
        <v>286</v>
      </c>
      <c r="I83" s="45">
        <v>30</v>
      </c>
      <c r="J83" s="45" t="s">
        <v>183</v>
      </c>
      <c r="L83" s="45">
        <v>114000</v>
      </c>
      <c r="M83" t="s">
        <v>151</v>
      </c>
      <c r="N83" s="45">
        <v>238004</v>
      </c>
      <c r="O83" t="s">
        <v>292</v>
      </c>
      <c r="P83" s="45">
        <v>1260</v>
      </c>
      <c r="Q83" s="45">
        <v>150600</v>
      </c>
      <c r="R83" s="45">
        <v>100</v>
      </c>
      <c r="S83" s="45">
        <v>100</v>
      </c>
      <c r="T83" s="25">
        <v>0</v>
      </c>
      <c r="U83">
        <v>210011</v>
      </c>
      <c r="V83" t="s">
        <v>195</v>
      </c>
    </row>
    <row r="84" spans="1:22" hidden="1">
      <c r="A84" s="45" t="s">
        <v>148</v>
      </c>
      <c r="B84" s="45" t="s">
        <v>282</v>
      </c>
      <c r="C84" s="45">
        <v>253397</v>
      </c>
      <c r="D84" t="s">
        <v>286</v>
      </c>
      <c r="I84" s="45">
        <v>40</v>
      </c>
      <c r="J84" s="45" t="s">
        <v>183</v>
      </c>
      <c r="L84" s="45">
        <v>114000</v>
      </c>
      <c r="M84" t="s">
        <v>151</v>
      </c>
      <c r="N84" s="45">
        <v>233004</v>
      </c>
      <c r="O84" t="s">
        <v>152</v>
      </c>
      <c r="P84" s="45">
        <v>1160</v>
      </c>
      <c r="Q84" s="45">
        <v>50200</v>
      </c>
      <c r="R84" s="45">
        <v>100</v>
      </c>
      <c r="S84" s="45">
        <v>100</v>
      </c>
      <c r="T84" s="25">
        <v>0</v>
      </c>
      <c r="U84">
        <v>210021</v>
      </c>
      <c r="V84" t="s">
        <v>172</v>
      </c>
    </row>
    <row r="85" spans="1:22" hidden="1"/>
    <row r="86" spans="1:22" ht="18.95" hidden="1">
      <c r="A86" s="97" t="s">
        <v>293</v>
      </c>
    </row>
    <row r="87" spans="1:22" ht="18.95" hidden="1">
      <c r="A87" s="97" t="s">
        <v>147</v>
      </c>
    </row>
    <row r="88" spans="1:22" ht="17.100000000000001" hidden="1">
      <c r="A88" s="45" t="s">
        <v>148</v>
      </c>
      <c r="B88" s="92" t="s">
        <v>294</v>
      </c>
      <c r="C88" s="92">
        <v>220185</v>
      </c>
      <c r="D88" s="96" t="s">
        <v>295</v>
      </c>
      <c r="E88" s="95" t="s">
        <v>296</v>
      </c>
      <c r="F88" s="94">
        <v>10203158</v>
      </c>
      <c r="G88" s="93"/>
      <c r="H88" s="92"/>
      <c r="T88" s="26"/>
    </row>
    <row r="89" spans="1:22" ht="17.100000000000001" hidden="1">
      <c r="A89" s="45" t="s">
        <v>148</v>
      </c>
      <c r="B89" s="92" t="s">
        <v>154</v>
      </c>
      <c r="C89" s="92">
        <v>230122</v>
      </c>
      <c r="D89" s="96" t="s">
        <v>297</v>
      </c>
      <c r="E89" s="95" t="s">
        <v>298</v>
      </c>
      <c r="F89" s="94">
        <v>20413297</v>
      </c>
      <c r="G89" s="93"/>
      <c r="H89" s="92"/>
      <c r="T89" s="26"/>
    </row>
    <row r="90" spans="1:22" ht="17.100000000000001" hidden="1">
      <c r="A90" s="45" t="s">
        <v>148</v>
      </c>
      <c r="B90" s="92" t="s">
        <v>154</v>
      </c>
      <c r="C90" s="92">
        <v>230090</v>
      </c>
      <c r="D90" s="96" t="s">
        <v>299</v>
      </c>
      <c r="E90" s="95" t="s">
        <v>300</v>
      </c>
      <c r="F90" s="94">
        <v>20299998</v>
      </c>
      <c r="G90" s="93"/>
      <c r="H90" s="92"/>
      <c r="T90" s="26"/>
    </row>
    <row r="91" spans="1:22" ht="17.100000000000001" hidden="1">
      <c r="A91" s="45" t="s">
        <v>148</v>
      </c>
      <c r="B91" s="92" t="s">
        <v>154</v>
      </c>
      <c r="C91" s="92">
        <v>230189</v>
      </c>
      <c r="D91" s="96" t="s">
        <v>301</v>
      </c>
      <c r="E91" s="95" t="s">
        <v>302</v>
      </c>
      <c r="F91" s="94">
        <v>10403057</v>
      </c>
      <c r="G91" s="93"/>
      <c r="H91" s="92"/>
      <c r="T91" s="26"/>
    </row>
    <row r="92" spans="1:22" ht="17.100000000000001" hidden="1">
      <c r="A92" s="45" t="s">
        <v>148</v>
      </c>
      <c r="B92" s="92" t="s">
        <v>154</v>
      </c>
      <c r="C92" s="92">
        <v>230673</v>
      </c>
      <c r="D92" s="96" t="s">
        <v>303</v>
      </c>
      <c r="E92" s="95" t="s">
        <v>304</v>
      </c>
      <c r="F92" s="94">
        <v>20420217</v>
      </c>
      <c r="G92" s="93"/>
      <c r="H92" s="92"/>
      <c r="T92" s="26"/>
    </row>
    <row r="93" spans="1:22" ht="17.100000000000001" hidden="1">
      <c r="A93" s="45" t="s">
        <v>148</v>
      </c>
      <c r="B93" s="92" t="s">
        <v>173</v>
      </c>
      <c r="C93" s="92">
        <v>230388</v>
      </c>
      <c r="D93" s="96" t="s">
        <v>305</v>
      </c>
      <c r="E93" s="95" t="s">
        <v>306</v>
      </c>
      <c r="F93" s="94">
        <v>20033318</v>
      </c>
      <c r="G93" s="93"/>
      <c r="H93" s="92"/>
      <c r="T93" s="26"/>
    </row>
    <row r="94" spans="1:22" ht="17.100000000000001" hidden="1">
      <c r="A94" s="45" t="s">
        <v>148</v>
      </c>
      <c r="B94" s="92" t="s">
        <v>154</v>
      </c>
      <c r="C94" s="92">
        <v>230154</v>
      </c>
      <c r="D94" s="96" t="s">
        <v>307</v>
      </c>
      <c r="E94" s="95" t="s">
        <v>308</v>
      </c>
      <c r="F94" s="94">
        <v>20279757</v>
      </c>
      <c r="G94" s="93"/>
      <c r="H94" s="92"/>
      <c r="T94" s="26"/>
    </row>
    <row r="95" spans="1:22" ht="17.100000000000001" hidden="1">
      <c r="A95" s="45" t="s">
        <v>148</v>
      </c>
      <c r="B95" s="92" t="s">
        <v>154</v>
      </c>
      <c r="C95" s="92">
        <v>230146</v>
      </c>
      <c r="D95" s="96" t="s">
        <v>309</v>
      </c>
      <c r="E95" s="95" t="s">
        <v>310</v>
      </c>
      <c r="F95" s="94">
        <v>20403865</v>
      </c>
      <c r="G95" s="93"/>
      <c r="H95" s="92"/>
      <c r="T95" s="26"/>
    </row>
    <row r="96" spans="1:22" ht="17.100000000000001" hidden="1">
      <c r="A96" s="45" t="s">
        <v>148</v>
      </c>
      <c r="B96" s="92" t="s">
        <v>154</v>
      </c>
      <c r="C96" s="92">
        <v>230220</v>
      </c>
      <c r="D96" s="96" t="s">
        <v>297</v>
      </c>
      <c r="E96" s="95" t="s">
        <v>311</v>
      </c>
      <c r="F96" s="94">
        <v>11231145</v>
      </c>
      <c r="G96" s="93"/>
      <c r="H96" s="92"/>
      <c r="T96" s="26"/>
    </row>
    <row r="97" spans="1:29" ht="17.100000000000001" hidden="1">
      <c r="A97" s="45" t="s">
        <v>148</v>
      </c>
      <c r="B97" s="92" t="s">
        <v>154</v>
      </c>
      <c r="C97" s="92">
        <v>230211</v>
      </c>
      <c r="D97" s="96" t="s">
        <v>312</v>
      </c>
      <c r="E97" s="95" t="s">
        <v>313</v>
      </c>
      <c r="F97" s="94">
        <v>20157370</v>
      </c>
      <c r="G97" s="93"/>
      <c r="H97" s="92"/>
      <c r="T97" s="26"/>
    </row>
    <row r="98" spans="1:29" ht="33.950000000000003" hidden="1">
      <c r="A98" s="45" t="s">
        <v>148</v>
      </c>
      <c r="B98" s="92" t="s">
        <v>154</v>
      </c>
      <c r="C98" s="92">
        <v>230446</v>
      </c>
      <c r="D98" s="96" t="s">
        <v>309</v>
      </c>
      <c r="E98" s="95" t="s">
        <v>314</v>
      </c>
      <c r="F98" s="94">
        <v>20497669</v>
      </c>
      <c r="G98" s="93"/>
      <c r="H98" s="92"/>
      <c r="T98" s="26"/>
    </row>
    <row r="99" spans="1:29">
      <c r="B99" s="92"/>
      <c r="C99" s="92"/>
      <c r="D99" s="96"/>
      <c r="E99" s="95"/>
      <c r="F99" s="94"/>
      <c r="G99" s="93"/>
      <c r="H99" s="92"/>
      <c r="T99" s="26"/>
    </row>
    <row r="100" spans="1:29" ht="18.95">
      <c r="B100" s="92"/>
      <c r="C100" s="91" t="s">
        <v>315</v>
      </c>
      <c r="D100" s="90"/>
      <c r="E100" s="89"/>
      <c r="F100" s="88"/>
      <c r="G100" s="87"/>
      <c r="H100" s="86"/>
      <c r="I100" s="76"/>
      <c r="J100" s="76"/>
      <c r="K100" s="76"/>
      <c r="L100" s="76"/>
      <c r="M100" s="74"/>
      <c r="N100" s="76"/>
      <c r="O100" s="74"/>
      <c r="P100" s="76"/>
      <c r="Q100" s="76"/>
      <c r="R100" s="76"/>
      <c r="S100" s="76"/>
      <c r="T100" s="75"/>
      <c r="U100" s="74"/>
      <c r="V100" s="74"/>
      <c r="W100" s="74"/>
      <c r="X100" s="74"/>
      <c r="Y100" s="140" t="s">
        <v>7</v>
      </c>
    </row>
    <row r="101" spans="1:29" s="82" customFormat="1" thickBot="1">
      <c r="A101" s="85"/>
      <c r="B101" s="84"/>
      <c r="C101" s="83" t="s">
        <v>316</v>
      </c>
      <c r="D101" s="83" t="s">
        <v>317</v>
      </c>
      <c r="E101" s="83" t="s">
        <v>130</v>
      </c>
      <c r="F101" s="83"/>
      <c r="G101" s="83"/>
      <c r="H101" s="83"/>
      <c r="I101" s="83" t="s">
        <v>316</v>
      </c>
      <c r="J101" s="83" t="s">
        <v>316</v>
      </c>
      <c r="K101" s="83" t="s">
        <v>316</v>
      </c>
      <c r="L101" s="83" t="s">
        <v>316</v>
      </c>
      <c r="M101" s="83" t="s">
        <v>316</v>
      </c>
      <c r="N101" s="83" t="s">
        <v>316</v>
      </c>
      <c r="O101" s="83" t="s">
        <v>316</v>
      </c>
      <c r="P101" s="83" t="s">
        <v>316</v>
      </c>
      <c r="Q101" s="83" t="s">
        <v>316</v>
      </c>
      <c r="R101" s="83" t="s">
        <v>318</v>
      </c>
      <c r="S101" s="83" t="s">
        <v>316</v>
      </c>
      <c r="T101" s="83" t="s">
        <v>316</v>
      </c>
      <c r="U101" s="83" t="s">
        <v>316</v>
      </c>
      <c r="V101" s="83" t="s">
        <v>316</v>
      </c>
      <c r="W101" s="83" t="s">
        <v>316</v>
      </c>
      <c r="X101" s="83" t="s">
        <v>316</v>
      </c>
      <c r="Y101" s="83" t="s">
        <v>319</v>
      </c>
    </row>
    <row r="102" spans="1:29" ht="17.100000000000001">
      <c r="A102" s="45" t="s">
        <v>148</v>
      </c>
      <c r="B102" s="45" t="s">
        <v>179</v>
      </c>
      <c r="C102" s="45">
        <v>250039</v>
      </c>
      <c r="D102" t="s">
        <v>180</v>
      </c>
      <c r="E102" s="67" t="s">
        <v>320</v>
      </c>
      <c r="I102" s="45">
        <v>20</v>
      </c>
      <c r="J102" s="45" t="s">
        <v>183</v>
      </c>
      <c r="L102" s="45">
        <v>114000</v>
      </c>
      <c r="M102" t="s">
        <v>151</v>
      </c>
      <c r="N102" s="45">
        <v>280001</v>
      </c>
      <c r="O102" t="s">
        <v>184</v>
      </c>
      <c r="P102" s="45">
        <v>1160</v>
      </c>
      <c r="Q102" s="45">
        <v>669000</v>
      </c>
      <c r="R102" s="70">
        <v>1</v>
      </c>
      <c r="S102" s="45">
        <v>100</v>
      </c>
      <c r="T102" s="26">
        <v>86393.7</v>
      </c>
      <c r="U102">
        <v>210080</v>
      </c>
      <c r="V102" t="s">
        <v>223</v>
      </c>
      <c r="Y102" s="73">
        <v>86393.7</v>
      </c>
    </row>
    <row r="103" spans="1:29" ht="17.100000000000001">
      <c r="A103" s="45" t="s">
        <v>148</v>
      </c>
      <c r="B103" s="45" t="s">
        <v>179</v>
      </c>
      <c r="C103" s="45">
        <v>250047</v>
      </c>
      <c r="D103" t="s">
        <v>180</v>
      </c>
      <c r="E103" s="67" t="s">
        <v>320</v>
      </c>
      <c r="I103" s="45">
        <v>20</v>
      </c>
      <c r="J103" s="45" t="s">
        <v>183</v>
      </c>
      <c r="L103" s="45">
        <v>114000</v>
      </c>
      <c r="M103" t="s">
        <v>151</v>
      </c>
      <c r="N103" s="45">
        <v>280001</v>
      </c>
      <c r="O103" t="s">
        <v>184</v>
      </c>
      <c r="P103" s="45">
        <v>1160</v>
      </c>
      <c r="Q103" s="45">
        <v>669000</v>
      </c>
      <c r="R103" s="70">
        <v>0.5</v>
      </c>
      <c r="S103" s="45">
        <v>100</v>
      </c>
      <c r="T103" s="26">
        <v>86393.7</v>
      </c>
      <c r="U103">
        <v>210011</v>
      </c>
      <c r="V103" t="s">
        <v>195</v>
      </c>
      <c r="Y103" s="73">
        <v>43196.85</v>
      </c>
      <c r="Z103" s="23"/>
    </row>
    <row r="104" spans="1:29" ht="17.100000000000001">
      <c r="A104" s="45" t="s">
        <v>148</v>
      </c>
      <c r="B104" s="45" t="s">
        <v>179</v>
      </c>
      <c r="C104" s="45">
        <v>250047</v>
      </c>
      <c r="D104" t="s">
        <v>180</v>
      </c>
      <c r="E104" s="67" t="s">
        <v>320</v>
      </c>
      <c r="I104" s="45">
        <v>20</v>
      </c>
      <c r="J104" s="45" t="s">
        <v>183</v>
      </c>
      <c r="L104" s="45">
        <v>114000</v>
      </c>
      <c r="M104" t="s">
        <v>151</v>
      </c>
      <c r="N104" s="45">
        <v>280001</v>
      </c>
      <c r="O104" t="s">
        <v>184</v>
      </c>
      <c r="P104" s="45">
        <v>1160</v>
      </c>
      <c r="Q104" s="45">
        <v>669000</v>
      </c>
      <c r="R104" s="70">
        <v>0.5</v>
      </c>
      <c r="S104" s="45">
        <v>100</v>
      </c>
      <c r="T104" s="26">
        <v>86393.7</v>
      </c>
      <c r="U104">
        <v>210011</v>
      </c>
      <c r="V104" t="s">
        <v>195</v>
      </c>
      <c r="Y104" s="73">
        <v>43196.85</v>
      </c>
      <c r="Z104" s="23"/>
    </row>
    <row r="105" spans="1:29" ht="17.100000000000001">
      <c r="A105" s="45" t="s">
        <v>148</v>
      </c>
      <c r="B105" s="45" t="s">
        <v>179</v>
      </c>
      <c r="C105" s="45">
        <v>250063</v>
      </c>
      <c r="D105" t="s">
        <v>321</v>
      </c>
      <c r="E105" s="67" t="s">
        <v>320</v>
      </c>
      <c r="I105" s="45">
        <v>20</v>
      </c>
      <c r="J105" s="45" t="s">
        <v>183</v>
      </c>
      <c r="L105" s="45">
        <v>114000</v>
      </c>
      <c r="M105" t="s">
        <v>151</v>
      </c>
      <c r="N105" s="45">
        <v>280001</v>
      </c>
      <c r="O105" t="s">
        <v>184</v>
      </c>
      <c r="P105" s="45">
        <v>1160</v>
      </c>
      <c r="Q105" s="45">
        <v>669000</v>
      </c>
      <c r="R105" s="70">
        <v>1</v>
      </c>
      <c r="S105" s="45">
        <v>100</v>
      </c>
      <c r="T105" s="26">
        <v>86393.7</v>
      </c>
      <c r="U105">
        <v>210038</v>
      </c>
      <c r="V105" t="s">
        <v>157</v>
      </c>
      <c r="Y105" s="73">
        <v>86393.7</v>
      </c>
    </row>
    <row r="106" spans="1:29" ht="17.100000000000001">
      <c r="A106" s="45" t="s">
        <v>148</v>
      </c>
      <c r="B106" s="45" t="s">
        <v>179</v>
      </c>
      <c r="C106" s="45">
        <v>250069</v>
      </c>
      <c r="D106" t="s">
        <v>180</v>
      </c>
      <c r="E106" s="67" t="s">
        <v>320</v>
      </c>
      <c r="I106" s="45">
        <v>30</v>
      </c>
      <c r="J106" s="45" t="s">
        <v>183</v>
      </c>
      <c r="L106" s="45">
        <v>114000</v>
      </c>
      <c r="M106" t="s">
        <v>151</v>
      </c>
      <c r="N106" s="45">
        <v>280001</v>
      </c>
      <c r="O106" t="s">
        <v>184</v>
      </c>
      <c r="P106" s="45">
        <v>1160</v>
      </c>
      <c r="Q106" s="45">
        <v>669000</v>
      </c>
      <c r="R106" s="70">
        <v>1</v>
      </c>
      <c r="S106" s="45">
        <v>100</v>
      </c>
      <c r="T106" s="26">
        <v>86393.7</v>
      </c>
      <c r="U106">
        <v>210035</v>
      </c>
      <c r="V106" t="s">
        <v>322</v>
      </c>
      <c r="Y106" s="73">
        <v>86393.7</v>
      </c>
    </row>
    <row r="107" spans="1:29" ht="17.100000000000001">
      <c r="A107" s="45" t="s">
        <v>148</v>
      </c>
      <c r="B107" s="45" t="s">
        <v>179</v>
      </c>
      <c r="C107" s="45">
        <v>250238</v>
      </c>
      <c r="D107" t="s">
        <v>180</v>
      </c>
      <c r="E107" s="67" t="s">
        <v>320</v>
      </c>
      <c r="I107" s="45">
        <v>20</v>
      </c>
      <c r="J107" s="45" t="s">
        <v>183</v>
      </c>
      <c r="L107" s="45">
        <v>114000</v>
      </c>
      <c r="M107" t="s">
        <v>151</v>
      </c>
      <c r="N107" s="45">
        <v>280001</v>
      </c>
      <c r="O107" t="s">
        <v>184</v>
      </c>
      <c r="P107" s="45">
        <v>1160</v>
      </c>
      <c r="Q107" s="45">
        <v>669000</v>
      </c>
      <c r="R107" s="70">
        <v>1</v>
      </c>
      <c r="S107" s="45">
        <v>100</v>
      </c>
      <c r="T107" s="26">
        <v>86393.7</v>
      </c>
      <c r="U107">
        <v>210021</v>
      </c>
      <c r="V107" t="s">
        <v>172</v>
      </c>
      <c r="Y107" s="73">
        <v>86393.7</v>
      </c>
    </row>
    <row r="108" spans="1:29" ht="17.100000000000001">
      <c r="A108" s="45" t="s">
        <v>148</v>
      </c>
      <c r="B108" s="45" t="s">
        <v>179</v>
      </c>
      <c r="C108" s="45">
        <v>250332</v>
      </c>
      <c r="D108" t="s">
        <v>180</v>
      </c>
      <c r="E108" s="67" t="s">
        <v>320</v>
      </c>
      <c r="I108" s="45">
        <v>40</v>
      </c>
      <c r="J108" s="45" t="s">
        <v>183</v>
      </c>
      <c r="L108" s="45">
        <v>114000</v>
      </c>
      <c r="M108" t="s">
        <v>151</v>
      </c>
      <c r="N108" s="45">
        <v>280001</v>
      </c>
      <c r="O108" t="s">
        <v>184</v>
      </c>
      <c r="P108" s="45">
        <v>1160</v>
      </c>
      <c r="Q108" s="45">
        <v>669000</v>
      </c>
      <c r="R108" s="70">
        <v>1</v>
      </c>
      <c r="S108" s="45">
        <v>100</v>
      </c>
      <c r="T108" s="26">
        <v>86393.7</v>
      </c>
      <c r="U108">
        <v>210032</v>
      </c>
      <c r="V108" t="s">
        <v>203</v>
      </c>
      <c r="Y108" s="73">
        <v>86393.7</v>
      </c>
    </row>
    <row r="109" spans="1:29" ht="17.100000000000001">
      <c r="A109" s="45" t="s">
        <v>148</v>
      </c>
      <c r="B109" s="45" t="s">
        <v>179</v>
      </c>
      <c r="C109" s="45">
        <v>250352</v>
      </c>
      <c r="D109" t="s">
        <v>180</v>
      </c>
      <c r="E109" s="67" t="s">
        <v>320</v>
      </c>
      <c r="I109" s="45">
        <v>20</v>
      </c>
      <c r="J109" s="45" t="s">
        <v>183</v>
      </c>
      <c r="L109" s="45">
        <v>114000</v>
      </c>
      <c r="M109" t="s">
        <v>151</v>
      </c>
      <c r="N109" s="45">
        <v>280001</v>
      </c>
      <c r="O109" t="s">
        <v>184</v>
      </c>
      <c r="P109" s="45">
        <v>1160</v>
      </c>
      <c r="Q109" s="45">
        <v>669000</v>
      </c>
      <c r="R109" s="70">
        <v>1</v>
      </c>
      <c r="S109" s="45">
        <v>100</v>
      </c>
      <c r="T109" s="26">
        <v>86393.7</v>
      </c>
      <c r="U109">
        <v>210008</v>
      </c>
      <c r="V109" t="s">
        <v>168</v>
      </c>
      <c r="Y109" s="73">
        <v>86393.7</v>
      </c>
    </row>
    <row r="110" spans="1:29" ht="17.100000000000001">
      <c r="A110" s="45" t="s">
        <v>148</v>
      </c>
      <c r="B110" s="45" t="s">
        <v>179</v>
      </c>
      <c r="C110" s="45">
        <v>250409</v>
      </c>
      <c r="D110" t="s">
        <v>180</v>
      </c>
      <c r="E110" s="67" t="s">
        <v>320</v>
      </c>
      <c r="I110" s="45">
        <v>30</v>
      </c>
      <c r="J110" s="45" t="s">
        <v>183</v>
      </c>
      <c r="L110" s="45">
        <v>114000</v>
      </c>
      <c r="M110" t="s">
        <v>151</v>
      </c>
      <c r="N110" s="45">
        <v>280001</v>
      </c>
      <c r="O110" t="s">
        <v>184</v>
      </c>
      <c r="P110" s="45">
        <v>1160</v>
      </c>
      <c r="Q110" s="45">
        <v>669000</v>
      </c>
      <c r="R110" s="70">
        <v>1</v>
      </c>
      <c r="S110" s="45">
        <v>100</v>
      </c>
      <c r="T110" s="26">
        <v>86393.7</v>
      </c>
      <c r="U110">
        <v>210035</v>
      </c>
      <c r="V110" t="s">
        <v>322</v>
      </c>
      <c r="Y110" s="73">
        <v>86393.7</v>
      </c>
    </row>
    <row r="111" spans="1:29" ht="17.100000000000001">
      <c r="A111" s="45" t="s">
        <v>148</v>
      </c>
      <c r="B111" s="45" t="s">
        <v>179</v>
      </c>
      <c r="C111" s="45">
        <v>258880</v>
      </c>
      <c r="D111" t="s">
        <v>180</v>
      </c>
      <c r="E111" s="67" t="s">
        <v>320</v>
      </c>
      <c r="I111" s="45">
        <v>50</v>
      </c>
      <c r="J111" s="45" t="s">
        <v>183</v>
      </c>
      <c r="L111" s="45">
        <v>114000</v>
      </c>
      <c r="M111" t="s">
        <v>151</v>
      </c>
      <c r="N111" s="45">
        <v>280001</v>
      </c>
      <c r="O111" t="s">
        <v>184</v>
      </c>
      <c r="P111" s="45">
        <v>1160</v>
      </c>
      <c r="Q111" s="45">
        <v>669000</v>
      </c>
      <c r="R111" s="70">
        <v>1</v>
      </c>
      <c r="S111" s="45">
        <v>100</v>
      </c>
      <c r="T111" s="26">
        <v>86393.7</v>
      </c>
      <c r="U111">
        <v>210021</v>
      </c>
      <c r="V111" t="s">
        <v>172</v>
      </c>
      <c r="Y111" s="73">
        <v>86393.7</v>
      </c>
    </row>
    <row r="112" spans="1:29" ht="17.100000000000001">
      <c r="A112" s="45" t="s">
        <v>148</v>
      </c>
      <c r="B112" s="45" t="s">
        <v>179</v>
      </c>
      <c r="C112" s="124">
        <v>258892</v>
      </c>
      <c r="D112" s="12" t="s">
        <v>180</v>
      </c>
      <c r="E112" s="125" t="s">
        <v>320</v>
      </c>
      <c r="F112" s="125"/>
      <c r="G112" s="126"/>
      <c r="H112" s="12"/>
      <c r="I112" s="124">
        <v>50</v>
      </c>
      <c r="J112" s="124" t="s">
        <v>183</v>
      </c>
      <c r="K112" s="124"/>
      <c r="L112" s="124">
        <v>114000</v>
      </c>
      <c r="M112" s="12" t="s">
        <v>151</v>
      </c>
      <c r="N112" s="124">
        <v>280001</v>
      </c>
      <c r="O112" s="12" t="s">
        <v>184</v>
      </c>
      <c r="P112" s="124">
        <v>1160</v>
      </c>
      <c r="Q112" s="124">
        <v>669000</v>
      </c>
      <c r="R112" s="127">
        <v>1</v>
      </c>
      <c r="S112" s="45">
        <v>100</v>
      </c>
      <c r="T112" s="71">
        <v>86393.7</v>
      </c>
      <c r="U112">
        <v>210008</v>
      </c>
      <c r="V112" t="s">
        <v>168</v>
      </c>
      <c r="Y112" s="72">
        <v>86393.7</v>
      </c>
      <c r="AA112" s="43">
        <v>0.6</v>
      </c>
      <c r="AB112" s="43">
        <v>0.5</v>
      </c>
      <c r="AC112" s="43">
        <v>0.26</v>
      </c>
    </row>
    <row r="113" spans="1:37">
      <c r="C113" s="18" t="s">
        <v>323</v>
      </c>
      <c r="R113" s="81"/>
      <c r="S113" s="18"/>
      <c r="T113" s="39">
        <f t="shared" ref="T113:Y113" si="0">SUM(T102:T112)</f>
        <v>950330.69999999984</v>
      </c>
      <c r="U113" s="39">
        <f t="shared" si="0"/>
        <v>2310300</v>
      </c>
      <c r="V113" s="39">
        <f t="shared" si="0"/>
        <v>0</v>
      </c>
      <c r="W113" s="39">
        <f t="shared" si="0"/>
        <v>0</v>
      </c>
      <c r="X113" s="39">
        <f t="shared" si="0"/>
        <v>0</v>
      </c>
      <c r="Y113" s="144">
        <f t="shared" si="0"/>
        <v>863936.99999999988</v>
      </c>
      <c r="AA113" s="128">
        <f>0.6*Y129</f>
        <v>881215.73999999987</v>
      </c>
      <c r="AB113" s="128">
        <f>0.5*Y129</f>
        <v>734346.45</v>
      </c>
      <c r="AC113" s="128">
        <f>AC112*Y129</f>
        <v>381860.15399999998</v>
      </c>
    </row>
    <row r="114" spans="1:37">
      <c r="R114" s="81"/>
      <c r="S114" s="18"/>
      <c r="T114" s="39"/>
      <c r="U114" s="39"/>
      <c r="V114" s="39"/>
      <c r="W114" s="39"/>
      <c r="X114" s="39"/>
      <c r="Y114" s="69"/>
    </row>
    <row r="115" spans="1:37" ht="18.95">
      <c r="C115" s="80" t="s">
        <v>324</v>
      </c>
      <c r="D115" s="74"/>
      <c r="E115" s="79"/>
      <c r="F115" s="79"/>
      <c r="G115" s="78"/>
      <c r="H115" s="74"/>
      <c r="I115" s="76"/>
      <c r="J115" s="76"/>
      <c r="K115" s="76"/>
      <c r="L115" s="76"/>
      <c r="M115" s="74"/>
      <c r="N115" s="76"/>
      <c r="O115" s="74"/>
      <c r="P115" s="76"/>
      <c r="Q115" s="76"/>
      <c r="R115" s="77"/>
      <c r="S115" s="76"/>
      <c r="T115" s="75"/>
      <c r="U115" s="74"/>
      <c r="V115" s="74"/>
      <c r="W115" s="74"/>
      <c r="X115" s="74"/>
      <c r="Y115" s="140" t="s">
        <v>8</v>
      </c>
    </row>
    <row r="116" spans="1:37" ht="17.100000000000001">
      <c r="A116" s="45" t="s">
        <v>148</v>
      </c>
      <c r="B116" s="45" t="s">
        <v>179</v>
      </c>
      <c r="C116" s="45">
        <v>250012</v>
      </c>
      <c r="D116" t="s">
        <v>180</v>
      </c>
      <c r="E116" s="67" t="s">
        <v>320</v>
      </c>
      <c r="I116" s="45">
        <v>50</v>
      </c>
      <c r="J116" s="45" t="s">
        <v>183</v>
      </c>
      <c r="L116" s="45">
        <v>114007</v>
      </c>
      <c r="M116" t="s">
        <v>325</v>
      </c>
      <c r="N116" s="45">
        <v>235004</v>
      </c>
      <c r="O116" t="s">
        <v>226</v>
      </c>
      <c r="P116" s="45">
        <v>1160</v>
      </c>
      <c r="Q116" s="45">
        <v>170100</v>
      </c>
      <c r="R116" s="70">
        <v>1</v>
      </c>
      <c r="S116" s="45">
        <v>100</v>
      </c>
      <c r="T116" s="26">
        <v>126737.9</v>
      </c>
      <c r="U116">
        <v>210008</v>
      </c>
      <c r="V116" t="s">
        <v>168</v>
      </c>
      <c r="Y116" s="73">
        <v>86393.7</v>
      </c>
      <c r="AK116" s="26">
        <v>86393.7</v>
      </c>
    </row>
    <row r="117" spans="1:37" ht="17.100000000000001">
      <c r="A117" s="45" t="s">
        <v>148</v>
      </c>
      <c r="B117" s="45" t="s">
        <v>179</v>
      </c>
      <c r="C117" s="45">
        <v>250129</v>
      </c>
      <c r="D117" t="s">
        <v>180</v>
      </c>
      <c r="E117" s="67" t="s">
        <v>320</v>
      </c>
      <c r="I117" s="45">
        <v>50</v>
      </c>
      <c r="J117" s="45" t="s">
        <v>183</v>
      </c>
      <c r="L117" s="45">
        <v>114007</v>
      </c>
      <c r="M117" t="s">
        <v>325</v>
      </c>
      <c r="N117" s="45">
        <v>237004</v>
      </c>
      <c r="O117" t="s">
        <v>186</v>
      </c>
      <c r="P117" s="45">
        <v>1160</v>
      </c>
      <c r="Q117" s="45">
        <v>123010</v>
      </c>
      <c r="R117" s="70">
        <v>1</v>
      </c>
      <c r="S117" s="45">
        <v>100</v>
      </c>
      <c r="T117" s="26">
        <v>126737.9</v>
      </c>
      <c r="U117">
        <v>210038</v>
      </c>
      <c r="V117" t="s">
        <v>157</v>
      </c>
      <c r="Y117" s="73">
        <v>86393.7</v>
      </c>
      <c r="AK117" s="26">
        <v>86393.7</v>
      </c>
    </row>
    <row r="118" spans="1:37" ht="17.100000000000001">
      <c r="A118" s="45" t="s">
        <v>148</v>
      </c>
      <c r="B118" s="45" t="s">
        <v>179</v>
      </c>
      <c r="C118" s="45">
        <v>250252</v>
      </c>
      <c r="D118" t="s">
        <v>180</v>
      </c>
      <c r="E118" s="67" t="s">
        <v>320</v>
      </c>
      <c r="I118" s="45">
        <v>50</v>
      </c>
      <c r="J118" s="45" t="s">
        <v>183</v>
      </c>
      <c r="L118" s="45">
        <v>114007</v>
      </c>
      <c r="M118" t="s">
        <v>325</v>
      </c>
      <c r="N118" s="45">
        <v>239005</v>
      </c>
      <c r="O118" t="s">
        <v>219</v>
      </c>
      <c r="P118" s="45">
        <v>1160</v>
      </c>
      <c r="Q118" s="45">
        <v>220500</v>
      </c>
      <c r="R118" s="70">
        <v>0.5</v>
      </c>
      <c r="S118" s="45">
        <v>100</v>
      </c>
      <c r="T118" s="26">
        <v>126737.9</v>
      </c>
      <c r="U118">
        <v>210032</v>
      </c>
      <c r="V118" t="s">
        <v>203</v>
      </c>
      <c r="Y118" s="73">
        <v>43196.85</v>
      </c>
      <c r="AK118" s="26">
        <v>86393.7</v>
      </c>
    </row>
    <row r="119" spans="1:37" ht="17.100000000000001">
      <c r="A119" s="45" t="s">
        <v>148</v>
      </c>
      <c r="B119" s="45" t="s">
        <v>179</v>
      </c>
      <c r="C119" s="45">
        <v>250252</v>
      </c>
      <c r="D119" t="s">
        <v>180</v>
      </c>
      <c r="E119" s="67" t="s">
        <v>320</v>
      </c>
      <c r="I119" s="45">
        <v>50</v>
      </c>
      <c r="J119" s="45" t="s">
        <v>183</v>
      </c>
      <c r="L119" s="45">
        <v>114007</v>
      </c>
      <c r="M119" t="s">
        <v>325</v>
      </c>
      <c r="N119" s="45">
        <v>234003</v>
      </c>
      <c r="O119" t="s">
        <v>207</v>
      </c>
      <c r="P119" s="45">
        <v>1160</v>
      </c>
      <c r="Q119" s="45">
        <v>220300</v>
      </c>
      <c r="R119" s="70">
        <v>0.5</v>
      </c>
      <c r="S119" s="45">
        <v>100</v>
      </c>
      <c r="T119" s="26">
        <v>126737.9</v>
      </c>
      <c r="U119">
        <v>210032</v>
      </c>
      <c r="V119" t="s">
        <v>203</v>
      </c>
      <c r="Y119" s="73">
        <v>43196.85</v>
      </c>
      <c r="AK119" s="26">
        <v>86393.7</v>
      </c>
    </row>
    <row r="120" spans="1:37" ht="17.100000000000001">
      <c r="A120" s="45" t="s">
        <v>148</v>
      </c>
      <c r="B120" s="45" t="s">
        <v>179</v>
      </c>
      <c r="C120" s="45">
        <v>250291</v>
      </c>
      <c r="D120" t="s">
        <v>180</v>
      </c>
      <c r="E120" s="67" t="s">
        <v>320</v>
      </c>
      <c r="I120" s="45">
        <v>50</v>
      </c>
      <c r="J120" s="45" t="s">
        <v>183</v>
      </c>
      <c r="L120" s="45">
        <v>114007</v>
      </c>
      <c r="M120" t="s">
        <v>325</v>
      </c>
      <c r="N120" s="45">
        <v>233004</v>
      </c>
      <c r="O120" t="s">
        <v>152</v>
      </c>
      <c r="P120" s="45">
        <v>1160</v>
      </c>
      <c r="Q120" s="45">
        <v>50200</v>
      </c>
      <c r="R120" s="70">
        <v>0.5</v>
      </c>
      <c r="S120" s="45">
        <v>100</v>
      </c>
      <c r="T120" s="26">
        <v>126737.9</v>
      </c>
      <c r="U120">
        <v>210021</v>
      </c>
      <c r="V120" t="s">
        <v>172</v>
      </c>
      <c r="Y120" s="73">
        <v>43196.85</v>
      </c>
      <c r="AK120" s="26">
        <v>86393.7</v>
      </c>
    </row>
    <row r="121" spans="1:37" ht="17.100000000000001">
      <c r="A121" s="45" t="s">
        <v>148</v>
      </c>
      <c r="B121" s="45" t="s">
        <v>179</v>
      </c>
      <c r="C121" s="45">
        <v>250291</v>
      </c>
      <c r="D121" t="s">
        <v>180</v>
      </c>
      <c r="E121" s="67" t="s">
        <v>320</v>
      </c>
      <c r="I121" s="45">
        <v>50</v>
      </c>
      <c r="J121" s="45" t="s">
        <v>183</v>
      </c>
      <c r="L121" s="45">
        <v>114007</v>
      </c>
      <c r="M121" t="s">
        <v>325</v>
      </c>
      <c r="N121" s="45">
        <v>233002</v>
      </c>
      <c r="O121" t="s">
        <v>326</v>
      </c>
      <c r="P121" s="45">
        <v>1160</v>
      </c>
      <c r="Q121" s="45">
        <v>50600</v>
      </c>
      <c r="R121" s="70">
        <v>0.5</v>
      </c>
      <c r="S121" s="45">
        <v>100</v>
      </c>
      <c r="T121" s="26">
        <v>126737.9</v>
      </c>
      <c r="U121">
        <v>210021</v>
      </c>
      <c r="V121" t="s">
        <v>172</v>
      </c>
      <c r="Y121" s="73">
        <v>43196.85</v>
      </c>
      <c r="AK121" s="26">
        <v>86393.7</v>
      </c>
    </row>
    <row r="122" spans="1:37" ht="17.100000000000001">
      <c r="A122" s="45" t="s">
        <v>148</v>
      </c>
      <c r="B122" s="45" t="s">
        <v>210</v>
      </c>
      <c r="C122" s="45">
        <v>250306</v>
      </c>
      <c r="D122" t="s">
        <v>261</v>
      </c>
      <c r="E122" s="67" t="s">
        <v>320</v>
      </c>
      <c r="I122" s="45">
        <v>30</v>
      </c>
      <c r="J122" s="45" t="s">
        <v>212</v>
      </c>
      <c r="L122" s="45">
        <v>114007</v>
      </c>
      <c r="M122" t="s">
        <v>325</v>
      </c>
      <c r="N122" s="45">
        <v>222001</v>
      </c>
      <c r="O122" t="s">
        <v>262</v>
      </c>
      <c r="P122" s="45">
        <v>1260</v>
      </c>
      <c r="Q122" s="45">
        <v>631000</v>
      </c>
      <c r="R122" s="70">
        <v>0.77780000000000005</v>
      </c>
      <c r="S122" s="45">
        <v>100</v>
      </c>
      <c r="T122" s="26">
        <v>107420.32</v>
      </c>
      <c r="U122">
        <v>210013</v>
      </c>
      <c r="V122" t="s">
        <v>263</v>
      </c>
      <c r="Y122" s="73">
        <v>67197.01986</v>
      </c>
      <c r="AK122" s="26">
        <v>86393.7</v>
      </c>
    </row>
    <row r="123" spans="1:37" ht="17.100000000000001">
      <c r="A123" s="45" t="s">
        <v>148</v>
      </c>
      <c r="B123" s="45" t="s">
        <v>210</v>
      </c>
      <c r="C123" s="45">
        <v>250306</v>
      </c>
      <c r="D123" t="s">
        <v>261</v>
      </c>
      <c r="E123" s="67" t="s">
        <v>320</v>
      </c>
      <c r="I123" s="45">
        <v>30</v>
      </c>
      <c r="J123" s="45" t="s">
        <v>212</v>
      </c>
      <c r="L123" s="45">
        <v>114007</v>
      </c>
      <c r="M123" t="s">
        <v>325</v>
      </c>
      <c r="N123" s="45">
        <v>222002</v>
      </c>
      <c r="O123" t="s">
        <v>272</v>
      </c>
      <c r="P123" s="45">
        <v>1160</v>
      </c>
      <c r="Q123" s="45">
        <v>493013</v>
      </c>
      <c r="R123" s="70">
        <v>0.22219999999999998</v>
      </c>
      <c r="S123" s="45">
        <v>100</v>
      </c>
      <c r="T123" s="26">
        <v>107420.32</v>
      </c>
      <c r="U123">
        <v>210013</v>
      </c>
      <c r="V123" t="s">
        <v>263</v>
      </c>
      <c r="Y123" s="73">
        <v>19196.680139999997</v>
      </c>
      <c r="AK123" s="26">
        <v>86393.7</v>
      </c>
    </row>
    <row r="124" spans="1:37" ht="17.100000000000001">
      <c r="A124" s="45" t="s">
        <v>148</v>
      </c>
      <c r="B124" s="45" t="s">
        <v>179</v>
      </c>
      <c r="C124" s="45">
        <v>258871</v>
      </c>
      <c r="D124" t="s">
        <v>180</v>
      </c>
      <c r="E124" s="67" t="s">
        <v>320</v>
      </c>
      <c r="I124" s="45">
        <v>30</v>
      </c>
      <c r="J124" s="45" t="s">
        <v>183</v>
      </c>
      <c r="L124" s="45">
        <v>114007</v>
      </c>
      <c r="M124" t="s">
        <v>325</v>
      </c>
      <c r="N124" s="45">
        <v>235004</v>
      </c>
      <c r="O124" t="s">
        <v>226</v>
      </c>
      <c r="P124" s="45">
        <v>1160</v>
      </c>
      <c r="Q124" s="45">
        <v>170100</v>
      </c>
      <c r="R124" s="70">
        <v>1</v>
      </c>
      <c r="S124" s="45">
        <v>100</v>
      </c>
      <c r="T124" s="26">
        <v>72812.100000000006</v>
      </c>
      <c r="U124">
        <v>210008</v>
      </c>
      <c r="V124" t="s">
        <v>168</v>
      </c>
      <c r="Y124" s="73">
        <v>86393.7</v>
      </c>
      <c r="AK124" s="26">
        <v>86393.7</v>
      </c>
    </row>
    <row r="125" spans="1:37" ht="17.100000000000001">
      <c r="A125" s="45" t="s">
        <v>148</v>
      </c>
      <c r="B125" s="45" t="s">
        <v>210</v>
      </c>
      <c r="C125" s="45">
        <v>258873</v>
      </c>
      <c r="D125" t="s">
        <v>327</v>
      </c>
      <c r="E125" s="67" t="s">
        <v>320</v>
      </c>
      <c r="I125" s="45">
        <v>30</v>
      </c>
      <c r="J125" s="45" t="s">
        <v>212</v>
      </c>
      <c r="L125" s="45">
        <v>114007</v>
      </c>
      <c r="M125" t="s">
        <v>325</v>
      </c>
      <c r="N125" s="45">
        <v>222001</v>
      </c>
      <c r="O125" t="s">
        <v>262</v>
      </c>
      <c r="P125" s="45">
        <v>1260</v>
      </c>
      <c r="Q125" s="45">
        <v>631000</v>
      </c>
      <c r="R125" s="70">
        <v>0.77780000000000005</v>
      </c>
      <c r="S125" s="45">
        <v>100</v>
      </c>
      <c r="T125" s="26">
        <v>97250.63</v>
      </c>
      <c r="U125">
        <v>210013</v>
      </c>
      <c r="V125" t="s">
        <v>263</v>
      </c>
      <c r="Y125" s="73">
        <v>67197.01986</v>
      </c>
      <c r="AK125" s="26">
        <v>86393.7</v>
      </c>
    </row>
    <row r="126" spans="1:37" ht="17.100000000000001">
      <c r="A126" s="45" t="s">
        <v>148</v>
      </c>
      <c r="B126" s="45" t="s">
        <v>210</v>
      </c>
      <c r="C126" s="124">
        <v>258873</v>
      </c>
      <c r="D126" s="12" t="s">
        <v>327</v>
      </c>
      <c r="E126" s="125" t="s">
        <v>320</v>
      </c>
      <c r="F126" s="125"/>
      <c r="G126" s="126"/>
      <c r="H126" s="12"/>
      <c r="I126" s="124">
        <v>30</v>
      </c>
      <c r="J126" s="124" t="s">
        <v>212</v>
      </c>
      <c r="K126" s="124"/>
      <c r="L126" s="124">
        <v>114007</v>
      </c>
      <c r="M126" s="12" t="s">
        <v>325</v>
      </c>
      <c r="N126" s="124">
        <v>222002</v>
      </c>
      <c r="O126" s="12" t="s">
        <v>272</v>
      </c>
      <c r="P126" s="124">
        <v>1160</v>
      </c>
      <c r="Q126" s="124">
        <v>493013</v>
      </c>
      <c r="R126" s="127">
        <v>0.22219999999999998</v>
      </c>
      <c r="S126" s="45">
        <v>100</v>
      </c>
      <c r="T126" s="71">
        <v>97250.63</v>
      </c>
      <c r="U126">
        <v>210013</v>
      </c>
      <c r="V126" t="s">
        <v>263</v>
      </c>
      <c r="Y126" s="72">
        <v>19196.680139999997</v>
      </c>
      <c r="AK126" s="71">
        <v>86393.7</v>
      </c>
    </row>
    <row r="127" spans="1:37">
      <c r="C127" s="18" t="s">
        <v>328</v>
      </c>
      <c r="R127" s="70"/>
      <c r="T127" s="25">
        <f>SUM(T116:T126)</f>
        <v>1242581.3999999999</v>
      </c>
      <c r="Y127" s="69">
        <f>SUM(Y116:Y126)</f>
        <v>604755.9</v>
      </c>
      <c r="AK127" s="25">
        <f>SUM(AK116:AK126)</f>
        <v>950330.69999999984</v>
      </c>
    </row>
    <row r="128" spans="1:37">
      <c r="Y128" s="68"/>
    </row>
    <row r="129" spans="3:27" ht="17.100000000000001" thickBot="1">
      <c r="C129" s="117"/>
      <c r="D129" s="36"/>
      <c r="E129" s="118"/>
      <c r="F129" s="118"/>
      <c r="G129" s="119"/>
      <c r="H129" s="36"/>
      <c r="I129" s="117"/>
      <c r="J129" s="117"/>
      <c r="K129" s="117"/>
      <c r="L129" s="117"/>
      <c r="M129" s="36"/>
      <c r="N129" s="117"/>
      <c r="O129" s="36"/>
      <c r="P129" s="117"/>
      <c r="Q129" s="117"/>
      <c r="R129" s="120" t="s">
        <v>329</v>
      </c>
      <c r="S129" s="121"/>
      <c r="T129" s="122"/>
      <c r="U129" s="123"/>
      <c r="V129" s="123"/>
      <c r="W129" s="123"/>
      <c r="X129" s="123"/>
      <c r="Y129" s="141">
        <f>Y113+Y127</f>
        <v>1468692.9</v>
      </c>
      <c r="AA129" s="128"/>
    </row>
    <row r="130" spans="3:27" ht="17.100000000000001" thickTop="1"/>
    <row r="131" spans="3:27">
      <c r="R131" s="132" t="s">
        <v>330</v>
      </c>
      <c r="Y131" s="142">
        <f>-Y129*60%</f>
        <v>-881215.73999999987</v>
      </c>
    </row>
    <row r="132" spans="3:27">
      <c r="R132" s="2" t="s">
        <v>331</v>
      </c>
      <c r="S132" s="18"/>
      <c r="T132" s="40"/>
      <c r="U132" s="8"/>
      <c r="V132" s="8"/>
      <c r="W132" s="8"/>
      <c r="X132" s="8"/>
      <c r="Y132" s="143">
        <f>Y129+Y131</f>
        <v>587477.16</v>
      </c>
    </row>
    <row r="133" spans="3:27">
      <c r="Y133" s="142"/>
    </row>
    <row r="134" spans="3:27">
      <c r="R134" s="132" t="s">
        <v>332</v>
      </c>
      <c r="Y134" s="142">
        <f>-Y129*50%</f>
        <v>-734346.45</v>
      </c>
    </row>
    <row r="135" spans="3:27">
      <c r="R135" s="2" t="s">
        <v>331</v>
      </c>
      <c r="S135" s="18"/>
      <c r="T135" s="40"/>
      <c r="U135" s="8"/>
      <c r="V135" s="8"/>
      <c r="W135" s="8"/>
      <c r="X135" s="8"/>
      <c r="Y135" s="143">
        <f>Y129+Y134</f>
        <v>734346.45</v>
      </c>
    </row>
    <row r="136" spans="3:27">
      <c r="Y136" s="142"/>
    </row>
    <row r="137" spans="3:27">
      <c r="R137" s="132" t="s">
        <v>333</v>
      </c>
      <c r="Y137" s="142">
        <f>-Y129*26%</f>
        <v>-381860.15399999998</v>
      </c>
      <c r="AA137" s="128"/>
    </row>
    <row r="138" spans="3:27">
      <c r="R138" s="2" t="s">
        <v>331</v>
      </c>
      <c r="S138" s="18"/>
      <c r="T138" s="40"/>
      <c r="U138" s="8"/>
      <c r="V138" s="8"/>
      <c r="W138" s="8"/>
      <c r="X138" s="8"/>
      <c r="Y138" s="143">
        <f>Y129+Y137</f>
        <v>1086832.7459999998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CA16-69B9-0344-BB02-3E3202A34626}">
  <sheetPr>
    <pageSetUpPr fitToPage="1"/>
  </sheetPr>
  <dimension ref="A1:AC98"/>
  <sheetViews>
    <sheetView showGridLines="0" tabSelected="1" zoomScale="140" zoomScaleNormal="140" zoomScalePageLayoutView="125" workbookViewId="0">
      <pane xSplit="3" ySplit="4" topLeftCell="I49" activePane="bottomRight" state="frozen"/>
      <selection pane="bottomRight" activeCell="U5" sqref="U5:U60"/>
      <selection pane="bottomLeft" activeCell="A5" sqref="A5"/>
      <selection pane="topRight" activeCell="D1" sqref="D1"/>
    </sheetView>
  </sheetViews>
  <sheetFormatPr defaultColWidth="11" defaultRowHeight="15.75"/>
  <cols>
    <col min="1" max="1" width="4.625" customWidth="1"/>
    <col min="2" max="2" width="37.125" customWidth="1"/>
    <col min="3" max="3" width="3" hidden="1" customWidth="1"/>
    <col min="4" max="6" width="13.875" hidden="1" customWidth="1"/>
    <col min="7" max="8" width="14" hidden="1" customWidth="1"/>
    <col min="9" max="9" width="16.875" customWidth="1"/>
    <col min="10" max="10" width="2.375" customWidth="1"/>
    <col min="11" max="11" width="16.875" customWidth="1"/>
    <col min="12" max="12" width="3.5" customWidth="1"/>
    <col min="13" max="13" width="16.875" customWidth="1"/>
    <col min="14" max="14" width="14" hidden="1" customWidth="1"/>
    <col min="15" max="15" width="2.375" customWidth="1"/>
    <col min="16" max="16" width="13.875" customWidth="1"/>
    <col min="17" max="17" width="10.875" hidden="1" customWidth="1"/>
    <col min="18" max="19" width="13.875" customWidth="1"/>
    <col min="20" max="20" width="2.5" customWidth="1"/>
    <col min="21" max="21" width="16.875" customWidth="1"/>
    <col min="22" max="52" width="10.875" customWidth="1"/>
  </cols>
  <sheetData>
    <row r="1" spans="1:21" ht="18.75">
      <c r="A1" s="3" t="s">
        <v>0</v>
      </c>
      <c r="I1" s="2"/>
      <c r="J1" s="2"/>
      <c r="K1" s="9"/>
      <c r="L1" s="9"/>
      <c r="M1" s="9"/>
      <c r="N1" s="9"/>
      <c r="O1" s="9"/>
    </row>
    <row r="2" spans="1:21">
      <c r="A2" t="s">
        <v>334</v>
      </c>
    </row>
    <row r="3" spans="1:21"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166" t="s">
        <v>8</v>
      </c>
      <c r="J3" s="166"/>
      <c r="K3" s="166"/>
      <c r="L3" s="166"/>
      <c r="M3" s="166"/>
    </row>
    <row r="4" spans="1:21" ht="15.95" customHeight="1">
      <c r="D4" s="6" t="s">
        <v>10</v>
      </c>
      <c r="E4" s="6" t="s">
        <v>10</v>
      </c>
      <c r="F4" s="6" t="s">
        <v>10</v>
      </c>
      <c r="G4" s="6" t="s">
        <v>10</v>
      </c>
      <c r="H4" s="55" t="s">
        <v>11</v>
      </c>
      <c r="I4" s="158" t="s">
        <v>335</v>
      </c>
      <c r="J4" s="14"/>
      <c r="K4" s="158" t="s">
        <v>336</v>
      </c>
      <c r="L4" s="2"/>
      <c r="M4" s="158" t="s">
        <v>337</v>
      </c>
      <c r="P4" s="167" t="s">
        <v>338</v>
      </c>
      <c r="Q4" s="167"/>
      <c r="R4" s="167"/>
      <c r="S4" s="167"/>
      <c r="T4" s="18"/>
      <c r="U4" s="158" t="s">
        <v>339</v>
      </c>
    </row>
    <row r="5" spans="1:21">
      <c r="D5" s="37"/>
      <c r="E5" s="38"/>
      <c r="F5" s="37"/>
      <c r="G5" s="38"/>
      <c r="H5" s="38"/>
      <c r="I5" s="150"/>
      <c r="J5" s="37"/>
      <c r="K5" s="37"/>
      <c r="L5" s="37"/>
      <c r="M5" s="37"/>
      <c r="U5" s="159"/>
    </row>
    <row r="6" spans="1:21">
      <c r="A6" t="s">
        <v>12</v>
      </c>
      <c r="C6">
        <v>1</v>
      </c>
      <c r="D6" s="39">
        <v>5394082.2699999996</v>
      </c>
      <c r="E6" s="40">
        <f>D56</f>
        <v>3709689.4099999992</v>
      </c>
      <c r="F6" s="39">
        <f>E56</f>
        <v>3665772.8799999994</v>
      </c>
      <c r="G6" s="39">
        <f>F56+0.01</f>
        <v>2020375.01</v>
      </c>
      <c r="H6" s="129">
        <f>G56</f>
        <v>1154154.1779999996</v>
      </c>
      <c r="I6" s="148">
        <f>H56</f>
        <v>357610.50903994951</v>
      </c>
      <c r="J6" s="148"/>
      <c r="K6" s="148">
        <v>357610.50903994951</v>
      </c>
      <c r="L6" s="131"/>
      <c r="M6" s="148">
        <v>357610.50903994951</v>
      </c>
      <c r="P6" s="23"/>
      <c r="Q6" s="23"/>
      <c r="R6" s="23"/>
      <c r="U6" s="160">
        <v>357610.50903994951</v>
      </c>
    </row>
    <row r="7" spans="1:21">
      <c r="B7" t="s">
        <v>13</v>
      </c>
      <c r="C7">
        <v>2</v>
      </c>
      <c r="D7" s="26">
        <v>-55264.09</v>
      </c>
      <c r="E7" s="25">
        <v>-40793.269999999997</v>
      </c>
      <c r="F7" s="26">
        <v>-32749.83</v>
      </c>
      <c r="G7" s="25">
        <v>-20903.84</v>
      </c>
      <c r="H7" s="48">
        <f>G7+8000</f>
        <v>-12903.84</v>
      </c>
      <c r="I7" s="49">
        <f>H7+8000</f>
        <v>-4903.84</v>
      </c>
      <c r="J7" s="49"/>
      <c r="K7" s="49">
        <v>-4903.84</v>
      </c>
      <c r="L7" s="146"/>
      <c r="M7" s="49">
        <v>-4903.84</v>
      </c>
      <c r="P7" s="23"/>
      <c r="Q7" s="23"/>
      <c r="R7" s="23"/>
      <c r="U7" s="161">
        <v>-4903.84</v>
      </c>
    </row>
    <row r="8" spans="1:21">
      <c r="B8" s="1" t="s">
        <v>14</v>
      </c>
      <c r="D8" s="25"/>
      <c r="E8" s="25"/>
      <c r="F8" s="26"/>
      <c r="G8" s="26"/>
      <c r="H8" s="48"/>
      <c r="I8" s="49"/>
      <c r="J8" s="49"/>
      <c r="K8" s="49"/>
      <c r="L8" s="146"/>
      <c r="M8" s="49"/>
      <c r="P8" s="23"/>
      <c r="Q8" s="23"/>
      <c r="R8" s="23"/>
      <c r="U8" s="161"/>
    </row>
    <row r="9" spans="1:21">
      <c r="B9" t="s">
        <v>15</v>
      </c>
      <c r="C9">
        <v>3</v>
      </c>
      <c r="D9" s="26">
        <v>-51986.09</v>
      </c>
      <c r="E9" s="25">
        <v>-25064.46</v>
      </c>
      <c r="F9" s="26">
        <f>E9-15000</f>
        <v>-40064.46</v>
      </c>
      <c r="G9" s="26">
        <f>F9-15000</f>
        <v>-55064.46</v>
      </c>
      <c r="H9" s="48">
        <f>G9-15000+64</f>
        <v>-70000.459999999992</v>
      </c>
      <c r="I9" s="49">
        <f>H9</f>
        <v>-70000.459999999992</v>
      </c>
      <c r="J9" s="146"/>
      <c r="K9" s="49">
        <f>I9</f>
        <v>-70000.459999999992</v>
      </c>
      <c r="L9" s="146"/>
      <c r="M9" s="49">
        <f>K9</f>
        <v>-70000.459999999992</v>
      </c>
      <c r="P9" s="23"/>
      <c r="Q9" s="23"/>
      <c r="R9" s="23"/>
      <c r="U9" s="161">
        <v>-70000.459999999992</v>
      </c>
    </row>
    <row r="10" spans="1:21">
      <c r="A10" t="s">
        <v>16</v>
      </c>
      <c r="D10" s="41">
        <f t="shared" ref="D10:I10" si="0">SUM(D6:D9)</f>
        <v>5286832.09</v>
      </c>
      <c r="E10" s="42">
        <f t="shared" si="0"/>
        <v>3643831.6799999992</v>
      </c>
      <c r="F10" s="41">
        <f t="shared" si="0"/>
        <v>3592958.5899999994</v>
      </c>
      <c r="G10" s="41">
        <f t="shared" si="0"/>
        <v>1944406.71</v>
      </c>
      <c r="H10" s="130">
        <f t="shared" si="0"/>
        <v>1071249.8779999996</v>
      </c>
      <c r="I10" s="151">
        <f t="shared" si="0"/>
        <v>282706.20903994946</v>
      </c>
      <c r="J10" s="131"/>
      <c r="K10" s="151">
        <f t="shared" ref="K10:M10" si="1">SUM(K6:K9)</f>
        <v>282706.20903994946</v>
      </c>
      <c r="L10" s="131"/>
      <c r="M10" s="151">
        <f t="shared" si="1"/>
        <v>282706.20903994946</v>
      </c>
      <c r="P10" s="23"/>
      <c r="Q10" s="23"/>
      <c r="R10" s="23"/>
      <c r="U10" s="162">
        <f t="shared" ref="U10" si="2">SUM(U6:U9)</f>
        <v>282706.20903994946</v>
      </c>
    </row>
    <row r="11" spans="1:21">
      <c r="D11" s="26"/>
      <c r="E11" s="25"/>
      <c r="F11" s="26"/>
      <c r="G11" s="26"/>
      <c r="H11" s="25"/>
      <c r="I11" s="26"/>
      <c r="J11" s="145"/>
      <c r="K11" s="26"/>
      <c r="L11" s="145"/>
      <c r="M11" s="26"/>
      <c r="P11" s="23"/>
      <c r="Q11" s="23"/>
      <c r="R11" s="23"/>
      <c r="U11" s="163"/>
    </row>
    <row r="12" spans="1:21" hidden="1">
      <c r="D12" s="26"/>
      <c r="E12" s="25"/>
      <c r="F12" s="26"/>
      <c r="G12" s="26"/>
      <c r="H12" s="25"/>
      <c r="I12" s="26"/>
      <c r="J12" s="26"/>
      <c r="K12" s="26"/>
      <c r="L12" s="145"/>
      <c r="M12" s="26"/>
      <c r="P12" s="23"/>
      <c r="Q12" s="23"/>
      <c r="R12" s="23"/>
      <c r="U12" s="163"/>
    </row>
    <row r="13" spans="1:21" hidden="1">
      <c r="A13" t="s">
        <v>17</v>
      </c>
      <c r="C13">
        <v>5</v>
      </c>
      <c r="D13" s="26">
        <v>-135066.29</v>
      </c>
      <c r="E13" s="25">
        <v>5664.92</v>
      </c>
      <c r="F13" s="26">
        <v>-68973.63</v>
      </c>
      <c r="G13" s="26">
        <v>-3806.5</v>
      </c>
      <c r="H13" s="26">
        <v>0</v>
      </c>
      <c r="I13" s="26">
        <v>0</v>
      </c>
      <c r="J13" s="26"/>
      <c r="K13" s="26">
        <v>0</v>
      </c>
      <c r="L13" s="145"/>
      <c r="M13" s="26">
        <v>0</v>
      </c>
      <c r="P13" s="23"/>
      <c r="Q13" s="23"/>
      <c r="R13" s="23"/>
      <c r="U13" s="163">
        <v>0</v>
      </c>
    </row>
    <row r="14" spans="1:21" hidden="1">
      <c r="A14" t="s">
        <v>18</v>
      </c>
      <c r="C14">
        <v>6</v>
      </c>
      <c r="D14" s="48">
        <v>0</v>
      </c>
      <c r="E14" s="48">
        <v>-106299.7</v>
      </c>
      <c r="F14" s="49">
        <v>-125779.39</v>
      </c>
      <c r="G14" s="49">
        <v>-230984.39</v>
      </c>
      <c r="H14" s="49">
        <v>0</v>
      </c>
      <c r="I14" s="49">
        <v>0</v>
      </c>
      <c r="J14" s="49"/>
      <c r="K14" s="49">
        <v>0</v>
      </c>
      <c r="L14" s="146"/>
      <c r="M14" s="49">
        <v>0</v>
      </c>
      <c r="P14" s="23"/>
      <c r="Q14" s="23"/>
      <c r="R14" s="23"/>
      <c r="U14" s="161">
        <v>0</v>
      </c>
    </row>
    <row r="15" spans="1:21" hidden="1">
      <c r="D15" s="49"/>
      <c r="E15" s="48"/>
      <c r="F15" s="49"/>
      <c r="G15" s="49"/>
      <c r="H15" s="49"/>
      <c r="I15" s="49"/>
      <c r="J15" s="49"/>
      <c r="K15" s="49"/>
      <c r="L15" s="146"/>
      <c r="M15" s="49"/>
      <c r="P15" s="23"/>
      <c r="Q15" s="23"/>
      <c r="R15" s="23"/>
      <c r="U15" s="161"/>
    </row>
    <row r="16" spans="1:21">
      <c r="A16" t="s">
        <v>19</v>
      </c>
      <c r="C16">
        <v>7</v>
      </c>
      <c r="D16" s="49">
        <v>1151081.7699999998</v>
      </c>
      <c r="E16" s="49">
        <v>1072112.8</v>
      </c>
      <c r="F16" s="49">
        <f>729143.83+169675.77</f>
        <v>898819.6</v>
      </c>
      <c r="G16" s="49">
        <f>299359.42+72623.82+43936.83</f>
        <v>415920.07</v>
      </c>
      <c r="H16" s="49">
        <f>450000-27987</f>
        <v>422013</v>
      </c>
      <c r="I16" s="49">
        <v>400000</v>
      </c>
      <c r="J16" s="49"/>
      <c r="K16" s="49">
        <v>400000</v>
      </c>
      <c r="L16" s="146"/>
      <c r="M16" s="49">
        <v>400000</v>
      </c>
      <c r="U16" s="161">
        <v>400000</v>
      </c>
    </row>
    <row r="17" spans="1:21">
      <c r="A17" t="s">
        <v>20</v>
      </c>
      <c r="C17">
        <v>9</v>
      </c>
      <c r="D17" s="49">
        <v>-11806.439999999999</v>
      </c>
      <c r="E17" s="49">
        <v>-11301.699999999999</v>
      </c>
      <c r="F17" s="49">
        <v>-12063.84</v>
      </c>
      <c r="G17" s="49">
        <f>-(10053.02+1914.33)</f>
        <v>-11967.35</v>
      </c>
      <c r="H17" s="49">
        <f>G17+(G17*5%)</f>
        <v>-12565.717500000001</v>
      </c>
      <c r="I17" s="49">
        <f>H17+(H17*5%)</f>
        <v>-13194.003375</v>
      </c>
      <c r="J17" s="49"/>
      <c r="K17" s="49">
        <f>I17+(I17*5%)</f>
        <v>-13853.70354375</v>
      </c>
      <c r="L17" s="146"/>
      <c r="M17" s="49">
        <f>K17+(K17*5%)</f>
        <v>-14546.388720937501</v>
      </c>
      <c r="S17" t="s">
        <v>340</v>
      </c>
      <c r="U17" s="161">
        <v>-13194.003375</v>
      </c>
    </row>
    <row r="18" spans="1:21">
      <c r="A18" t="s">
        <v>21</v>
      </c>
      <c r="C18">
        <v>13</v>
      </c>
      <c r="D18" s="49">
        <v>-16373.01</v>
      </c>
      <c r="E18" s="49">
        <v>-66113.87</v>
      </c>
      <c r="F18" s="49">
        <v>-15215.68</v>
      </c>
      <c r="G18" s="49">
        <v>-97505.49</v>
      </c>
      <c r="H18" s="49">
        <v>-50000</v>
      </c>
      <c r="I18" s="49">
        <v>-50000</v>
      </c>
      <c r="J18" s="49"/>
      <c r="K18" s="49">
        <v>-50000</v>
      </c>
      <c r="L18" s="146"/>
      <c r="M18" s="49">
        <v>-50000</v>
      </c>
      <c r="P18" s="7" t="s">
        <v>341</v>
      </c>
      <c r="S18" t="s">
        <v>342</v>
      </c>
      <c r="U18" s="161">
        <v>-50000</v>
      </c>
    </row>
    <row r="19" spans="1:21">
      <c r="A19" t="s">
        <v>24</v>
      </c>
      <c r="C19">
        <v>16</v>
      </c>
      <c r="D19" s="49">
        <v>113805.83</v>
      </c>
      <c r="E19" s="49">
        <v>40235.53</v>
      </c>
      <c r="F19" s="49">
        <v>18355.25</v>
      </c>
      <c r="G19" s="49">
        <v>36443.589999999997</v>
      </c>
      <c r="H19" s="49">
        <v>50000</v>
      </c>
      <c r="I19" s="49">
        <v>50000</v>
      </c>
      <c r="J19" s="49"/>
      <c r="K19" s="49">
        <v>50000</v>
      </c>
      <c r="L19" s="146"/>
      <c r="M19" s="49">
        <v>50000</v>
      </c>
      <c r="P19" s="152">
        <v>863937</v>
      </c>
      <c r="S19" s="153">
        <v>604755.9</v>
      </c>
      <c r="T19" s="153"/>
      <c r="U19" s="161">
        <v>50000</v>
      </c>
    </row>
    <row r="20" spans="1:21">
      <c r="D20" s="49"/>
      <c r="E20" s="49"/>
      <c r="F20" s="49"/>
      <c r="G20" s="49"/>
      <c r="H20" s="49"/>
      <c r="I20" s="49"/>
      <c r="J20" s="49"/>
      <c r="K20" s="49"/>
      <c r="L20" s="146"/>
      <c r="M20" s="49"/>
      <c r="P20" s="8" t="s">
        <v>343</v>
      </c>
      <c r="U20" s="161"/>
    </row>
    <row r="21" spans="1:21">
      <c r="A21" t="s">
        <v>22</v>
      </c>
      <c r="C21">
        <v>10</v>
      </c>
      <c r="D21" s="49">
        <v>-64592.2</v>
      </c>
      <c r="E21" s="49">
        <v>-58152.38</v>
      </c>
      <c r="F21" s="49">
        <f>E21-F83</f>
        <v>-556910.18000000005</v>
      </c>
      <c r="G21" s="49">
        <f>'CF Funded Positions'!E46</f>
        <v>-577603.7919999999</v>
      </c>
      <c r="H21" s="49">
        <f>'CF Funded Positions'!F46-H22</f>
        <v>-537168.09475445002</v>
      </c>
      <c r="I21" s="49">
        <f>'CF Funded Positions'!G46-I22</f>
        <v>-611877.53950889991</v>
      </c>
      <c r="J21" s="49"/>
      <c r="K21" s="49">
        <v>-611878</v>
      </c>
      <c r="L21" s="146"/>
      <c r="M21" s="49">
        <v>-611878</v>
      </c>
      <c r="P21" s="154">
        <f>SUM(P19,S19)</f>
        <v>1468692.9</v>
      </c>
      <c r="U21" s="161">
        <v>-611877.53950889991</v>
      </c>
    </row>
    <row r="22" spans="1:21">
      <c r="A22" t="s">
        <v>23</v>
      </c>
      <c r="D22" s="49">
        <v>0</v>
      </c>
      <c r="E22" s="49">
        <v>0</v>
      </c>
      <c r="F22" s="49">
        <v>0</v>
      </c>
      <c r="G22" s="49">
        <v>0</v>
      </c>
      <c r="H22" s="49">
        <f>'CF Funded Positions'!F41</f>
        <v>-255918.5567056</v>
      </c>
      <c r="I22" s="49">
        <f>'CF Funded Positions'!G41</f>
        <v>-403071.72681132</v>
      </c>
      <c r="J22" s="49"/>
      <c r="K22" s="49">
        <f>'CF Funded Positions'!G41</f>
        <v>-403071.72681132</v>
      </c>
      <c r="L22" s="146"/>
      <c r="M22" s="49">
        <f>'CF Funded Positions'!G41</f>
        <v>-403071.72681132</v>
      </c>
      <c r="P22" s="43">
        <v>0.6</v>
      </c>
      <c r="R22" s="43">
        <v>0.5</v>
      </c>
      <c r="S22" s="43">
        <v>0.26</v>
      </c>
      <c r="T22" s="43"/>
      <c r="U22" s="161">
        <v>-403071.72681132</v>
      </c>
    </row>
    <row r="23" spans="1:21">
      <c r="A23" s="16" t="s">
        <v>344</v>
      </c>
      <c r="B23" s="16"/>
      <c r="C23" s="16"/>
      <c r="D23" s="16"/>
      <c r="E23" s="16"/>
      <c r="F23" s="16"/>
      <c r="G23" s="16"/>
      <c r="H23" s="16"/>
      <c r="P23" s="54">
        <f>0.6*P21</f>
        <v>881215.73999999987</v>
      </c>
      <c r="R23" s="23">
        <f>0.5*P21</f>
        <v>734346.45</v>
      </c>
      <c r="S23" s="23">
        <f>0.26*P21</f>
        <v>381860.15399999998</v>
      </c>
      <c r="T23" s="23"/>
      <c r="U23" s="159"/>
    </row>
    <row r="24" spans="1:21">
      <c r="A24" s="16"/>
      <c r="B24" s="16" t="s">
        <v>345</v>
      </c>
      <c r="C24" s="16"/>
      <c r="D24" s="16"/>
      <c r="E24" s="16"/>
      <c r="F24" s="16"/>
      <c r="G24" s="16"/>
      <c r="H24" s="16"/>
      <c r="I24" s="155">
        <f>-'SRP Vacant Positions'!Y131</f>
        <v>881215.73999999987</v>
      </c>
      <c r="J24" s="155"/>
      <c r="K24" s="156"/>
      <c r="L24" s="147"/>
      <c r="M24" s="156"/>
      <c r="P24" s="23"/>
      <c r="U24" s="159"/>
    </row>
    <row r="25" spans="1:21">
      <c r="A25" s="16"/>
      <c r="B25" s="16"/>
      <c r="C25" s="16"/>
      <c r="D25" s="16"/>
      <c r="E25" s="16"/>
      <c r="F25" s="16"/>
      <c r="G25" s="16"/>
      <c r="H25" s="16"/>
      <c r="I25" s="155"/>
      <c r="J25" s="155"/>
      <c r="K25" s="156"/>
      <c r="L25" s="147"/>
      <c r="M25" s="156"/>
      <c r="S25" t="s">
        <v>346</v>
      </c>
      <c r="U25" s="159"/>
    </row>
    <row r="26" spans="1:21">
      <c r="A26" s="16"/>
      <c r="B26" s="137" t="s">
        <v>347</v>
      </c>
      <c r="C26" s="16"/>
      <c r="D26" s="16"/>
      <c r="E26" s="16"/>
      <c r="F26" s="16"/>
      <c r="G26" s="16"/>
      <c r="H26" s="16"/>
      <c r="I26" s="155"/>
      <c r="J26" s="155"/>
      <c r="K26" s="156">
        <f>-'SRP Vacant Positions'!Y134</f>
        <v>734346.45</v>
      </c>
      <c r="L26" s="147"/>
      <c r="M26" s="156"/>
      <c r="P26" s="23"/>
      <c r="S26" s="157">
        <f>M29/P21</f>
        <v>0</v>
      </c>
      <c r="T26" s="157"/>
      <c r="U26" s="159"/>
    </row>
    <row r="27" spans="1:21">
      <c r="A27" s="16"/>
      <c r="B27" s="138"/>
      <c r="C27" s="16"/>
      <c r="D27" s="16"/>
      <c r="E27" s="16"/>
      <c r="F27" s="16"/>
      <c r="G27" s="16"/>
      <c r="H27" s="16"/>
      <c r="I27" s="155"/>
      <c r="J27" s="155"/>
      <c r="K27" s="156"/>
      <c r="L27" s="147"/>
      <c r="M27" s="156"/>
      <c r="P27" s="23"/>
      <c r="U27" s="159"/>
    </row>
    <row r="28" spans="1:21" hidden="1">
      <c r="A28" s="16"/>
      <c r="B28" s="138"/>
      <c r="C28" s="16"/>
      <c r="D28" s="16"/>
      <c r="E28" s="16"/>
      <c r="F28" s="16"/>
      <c r="G28" s="16"/>
      <c r="H28" s="16"/>
      <c r="I28" s="155"/>
      <c r="J28" s="155"/>
      <c r="K28" s="156"/>
      <c r="L28" s="147"/>
      <c r="M28" s="156"/>
      <c r="P28" s="23"/>
      <c r="U28" s="159"/>
    </row>
    <row r="29" spans="1:21">
      <c r="A29" s="16"/>
      <c r="B29" s="137" t="s">
        <v>348</v>
      </c>
      <c r="C29" s="16"/>
      <c r="D29" s="16"/>
      <c r="E29" s="16"/>
      <c r="F29" s="16"/>
      <c r="G29" s="16"/>
      <c r="H29" s="16"/>
      <c r="I29" s="155"/>
      <c r="J29" s="155"/>
      <c r="K29" s="156"/>
      <c r="L29" s="147"/>
      <c r="M29" s="156"/>
      <c r="P29" s="23"/>
      <c r="U29" s="159"/>
    </row>
    <row r="30" spans="1:21">
      <c r="A30" s="16"/>
      <c r="B30" s="138"/>
      <c r="C30" s="16"/>
      <c r="D30" s="16"/>
      <c r="E30" s="16"/>
      <c r="F30" s="16"/>
      <c r="G30" s="16"/>
      <c r="H30" s="16"/>
      <c r="I30" s="155"/>
      <c r="J30" s="155"/>
      <c r="K30" s="156"/>
      <c r="L30" s="147"/>
      <c r="M30" s="156">
        <v>381860.15</v>
      </c>
      <c r="P30" s="23"/>
      <c r="U30" s="159"/>
    </row>
    <row r="31" spans="1:21">
      <c r="A31" s="16"/>
      <c r="B31" s="138"/>
      <c r="C31" s="16"/>
      <c r="D31" s="16"/>
      <c r="E31" s="16"/>
      <c r="F31" s="16"/>
      <c r="G31" s="16"/>
      <c r="H31" s="16"/>
      <c r="I31" s="155"/>
      <c r="J31" s="155"/>
      <c r="K31" s="156"/>
      <c r="L31" s="147"/>
      <c r="M31" s="156"/>
      <c r="N31" s="22"/>
      <c r="O31" s="22"/>
      <c r="P31" s="23"/>
      <c r="U31" s="159"/>
    </row>
    <row r="32" spans="1:21">
      <c r="A32" s="16"/>
      <c r="B32" s="138"/>
      <c r="C32" s="16"/>
      <c r="D32" s="16"/>
      <c r="E32" s="16"/>
      <c r="F32" s="16"/>
      <c r="G32" s="16"/>
      <c r="H32" s="16"/>
      <c r="I32" s="155"/>
      <c r="J32" s="155"/>
      <c r="K32" s="156"/>
      <c r="L32" s="147"/>
      <c r="M32" s="156"/>
      <c r="N32" s="22"/>
      <c r="O32" s="22"/>
      <c r="P32" s="23"/>
      <c r="U32" s="159"/>
    </row>
    <row r="33" spans="1:23">
      <c r="A33" s="16"/>
      <c r="B33" s="149"/>
      <c r="C33" s="16"/>
      <c r="D33" s="16"/>
      <c r="E33" s="16"/>
      <c r="F33" s="16"/>
      <c r="G33" s="16"/>
      <c r="H33" s="16"/>
      <c r="I33" s="155"/>
      <c r="J33" s="155"/>
      <c r="K33" s="156"/>
      <c r="L33" s="147"/>
      <c r="M33" s="156"/>
      <c r="N33" s="22"/>
      <c r="O33" s="22"/>
      <c r="P33" s="23"/>
      <c r="U33" s="159"/>
    </row>
    <row r="34" spans="1:23">
      <c r="A34" s="16"/>
      <c r="B34" s="137" t="s">
        <v>349</v>
      </c>
      <c r="C34" s="16"/>
      <c r="D34" s="16"/>
      <c r="E34" s="16"/>
      <c r="F34" s="16"/>
      <c r="G34" s="16"/>
      <c r="H34" s="16"/>
      <c r="I34" s="155"/>
      <c r="J34" s="155"/>
      <c r="K34" s="156"/>
      <c r="L34" s="156"/>
      <c r="M34" s="156"/>
      <c r="N34" s="22"/>
      <c r="O34" s="22"/>
      <c r="P34" s="23"/>
      <c r="U34" s="164">
        <v>863936.99999999988</v>
      </c>
      <c r="W34" s="23"/>
    </row>
    <row r="35" spans="1:23" ht="31.5">
      <c r="A35" s="16"/>
      <c r="B35" s="138" t="s">
        <v>350</v>
      </c>
      <c r="C35" s="16"/>
      <c r="D35" s="16"/>
      <c r="E35" s="16"/>
      <c r="F35" s="16"/>
      <c r="G35" s="16"/>
      <c r="H35" s="16"/>
      <c r="I35" s="155"/>
      <c r="J35" s="155"/>
      <c r="K35" s="156"/>
      <c r="L35" s="156"/>
      <c r="M35" s="156"/>
      <c r="N35" s="22"/>
      <c r="O35" s="22"/>
      <c r="P35" s="23"/>
      <c r="U35" s="164"/>
    </row>
    <row r="36" spans="1:23">
      <c r="D36" s="49"/>
      <c r="E36" s="49"/>
      <c r="F36" s="49"/>
      <c r="G36" s="49"/>
      <c r="H36" s="49"/>
      <c r="I36" s="49"/>
      <c r="J36" s="49"/>
      <c r="K36" s="49"/>
      <c r="L36" s="146"/>
      <c r="M36" s="49"/>
      <c r="P36" s="23"/>
      <c r="U36" s="161"/>
    </row>
    <row r="37" spans="1:23" hidden="1">
      <c r="A37" t="s">
        <v>25</v>
      </c>
      <c r="C37">
        <v>14</v>
      </c>
      <c r="D37" s="49">
        <f>-751928-49873.55</f>
        <v>-801801.55</v>
      </c>
      <c r="E37" s="49">
        <f>-758497</f>
        <v>-758497</v>
      </c>
      <c r="F37" s="49">
        <v>-775387</v>
      </c>
      <c r="G37" s="49">
        <f>26584-25574-219696-337962-505903+287164</f>
        <v>-775387</v>
      </c>
      <c r="H37" s="49">
        <v>0</v>
      </c>
      <c r="I37" s="49">
        <v>0</v>
      </c>
      <c r="J37" s="49"/>
      <c r="K37" s="49">
        <v>0</v>
      </c>
      <c r="L37" s="146"/>
      <c r="M37" s="49">
        <v>0</v>
      </c>
      <c r="P37" s="22"/>
      <c r="U37" s="161">
        <v>0</v>
      </c>
    </row>
    <row r="38" spans="1:23">
      <c r="A38" t="s">
        <v>26</v>
      </c>
      <c r="C38">
        <v>15</v>
      </c>
      <c r="D38" s="49">
        <v>-603000</v>
      </c>
      <c r="E38" s="49">
        <v>-603000</v>
      </c>
      <c r="F38" s="49">
        <v>-603000</v>
      </c>
      <c r="G38" s="49">
        <v>-603000</v>
      </c>
      <c r="H38" s="49">
        <v>-1000000</v>
      </c>
      <c r="I38" s="49">
        <v>-1000000</v>
      </c>
      <c r="J38" s="49"/>
      <c r="K38" s="49">
        <v>-1000000</v>
      </c>
      <c r="L38" s="146"/>
      <c r="M38" s="49">
        <v>-1000000</v>
      </c>
      <c r="N38" s="22"/>
      <c r="O38" s="22"/>
      <c r="P38" s="22"/>
      <c r="U38" s="161">
        <v>-1000000</v>
      </c>
    </row>
    <row r="39" spans="1:23">
      <c r="A39" t="s">
        <v>27</v>
      </c>
      <c r="D39" s="49">
        <f>-548080.91+49873.55+105179.62</f>
        <v>-393027.74000000005</v>
      </c>
      <c r="E39" s="49">
        <f>-487417.78+74998.96</f>
        <v>-412418.82</v>
      </c>
      <c r="F39" s="49">
        <f>-526701+68024.91</f>
        <v>-458676.08999999997</v>
      </c>
      <c r="G39" s="49">
        <f>-400000-61843.09</f>
        <v>-461843.08999999997</v>
      </c>
      <c r="H39" s="49">
        <v>0</v>
      </c>
      <c r="I39" s="49">
        <v>0</v>
      </c>
      <c r="J39" s="49"/>
      <c r="K39" s="49">
        <v>0</v>
      </c>
      <c r="L39" s="146"/>
      <c r="M39" s="49">
        <v>0</v>
      </c>
      <c r="P39" s="5"/>
      <c r="U39" s="161">
        <v>0</v>
      </c>
    </row>
    <row r="40" spans="1:23">
      <c r="A40" t="s">
        <v>28</v>
      </c>
      <c r="D40" s="49">
        <v>-105179.62</v>
      </c>
      <c r="E40" s="49">
        <v>-74998.960000000006</v>
      </c>
      <c r="F40" s="49">
        <v>-68024.91</v>
      </c>
      <c r="G40" s="49">
        <v>0</v>
      </c>
      <c r="H40" s="49">
        <v>0</v>
      </c>
      <c r="I40" s="49">
        <v>0</v>
      </c>
      <c r="J40" s="49"/>
      <c r="K40" s="49">
        <v>0</v>
      </c>
      <c r="L40" s="146"/>
      <c r="M40" s="49">
        <v>0</v>
      </c>
      <c r="P40" s="22"/>
      <c r="U40" s="161">
        <v>0</v>
      </c>
    </row>
    <row r="41" spans="1:23">
      <c r="A41" t="s">
        <v>29</v>
      </c>
      <c r="C41">
        <v>17</v>
      </c>
      <c r="D41" s="49">
        <v>0</v>
      </c>
      <c r="E41" s="49">
        <v>0</v>
      </c>
      <c r="F41" s="49">
        <v>-699206.14</v>
      </c>
      <c r="G41" s="49">
        <v>270409</v>
      </c>
      <c r="H41" s="49">
        <v>0</v>
      </c>
      <c r="I41" s="49">
        <v>0</v>
      </c>
      <c r="J41" s="49"/>
      <c r="K41" s="49">
        <v>0</v>
      </c>
      <c r="L41" s="146"/>
      <c r="M41" s="49">
        <v>0</v>
      </c>
      <c r="U41" s="161">
        <v>0</v>
      </c>
    </row>
    <row r="42" spans="1:23">
      <c r="D42" s="48"/>
      <c r="E42" s="48"/>
      <c r="F42" s="49"/>
      <c r="G42" s="49"/>
      <c r="H42" s="49"/>
      <c r="I42" s="49"/>
      <c r="J42" s="49"/>
      <c r="K42" s="49"/>
      <c r="L42" s="146"/>
      <c r="M42" s="49"/>
      <c r="P42" s="22"/>
      <c r="U42" s="161"/>
    </row>
    <row r="43" spans="1:23">
      <c r="A43" t="s">
        <v>30</v>
      </c>
      <c r="D43" s="49">
        <v>411374.44</v>
      </c>
      <c r="E43" s="49">
        <v>1065687.1100000001</v>
      </c>
      <c r="F43" s="50">
        <v>933703.12000000034</v>
      </c>
      <c r="G43" s="49">
        <f>1154154.45+133436.48+43954.69</f>
        <v>1331545.6199999999</v>
      </c>
      <c r="H43" s="49">
        <v>700000</v>
      </c>
      <c r="I43" s="49">
        <v>500000</v>
      </c>
      <c r="J43" s="49"/>
      <c r="K43" s="49">
        <v>500000</v>
      </c>
      <c r="L43" s="146"/>
      <c r="M43" s="49">
        <v>500000</v>
      </c>
      <c r="P43" s="23"/>
      <c r="U43" s="161">
        <v>500000</v>
      </c>
    </row>
    <row r="44" spans="1:23" hidden="1">
      <c r="A44" t="s">
        <v>31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/>
      <c r="K44" s="49">
        <v>0</v>
      </c>
      <c r="L44" s="146"/>
      <c r="M44" s="49">
        <v>0</v>
      </c>
      <c r="U44" s="161">
        <v>0</v>
      </c>
    </row>
    <row r="45" spans="1:23" hidden="1">
      <c r="D45" s="49"/>
      <c r="E45" s="49"/>
      <c r="F45" s="50"/>
      <c r="G45" s="50"/>
      <c r="H45" s="50"/>
      <c r="I45" s="49"/>
      <c r="J45" s="49"/>
      <c r="K45" s="49"/>
      <c r="L45" s="146"/>
      <c r="M45" s="49"/>
      <c r="U45" s="161"/>
    </row>
    <row r="46" spans="1:23" hidden="1">
      <c r="D46" s="49"/>
      <c r="E46" s="48"/>
      <c r="F46" s="49"/>
      <c r="G46" s="49"/>
      <c r="H46" s="49"/>
      <c r="I46" s="49"/>
      <c r="J46" s="49"/>
      <c r="K46" s="49"/>
      <c r="L46" s="146"/>
      <c r="M46" s="49"/>
      <c r="U46" s="161"/>
    </row>
    <row r="47" spans="1:23" hidden="1">
      <c r="A47" t="s">
        <v>32</v>
      </c>
      <c r="D47" s="49">
        <v>-1000000</v>
      </c>
      <c r="E47" s="48">
        <v>0</v>
      </c>
      <c r="F47" s="49">
        <v>0</v>
      </c>
      <c r="G47" s="49">
        <v>0</v>
      </c>
      <c r="H47" s="49">
        <v>0</v>
      </c>
      <c r="I47" s="49">
        <v>0</v>
      </c>
      <c r="J47" s="49"/>
      <c r="K47" s="49">
        <v>0</v>
      </c>
      <c r="L47" s="146"/>
      <c r="M47" s="49">
        <v>0</v>
      </c>
      <c r="Q47" s="5"/>
      <c r="U47" s="161">
        <v>0</v>
      </c>
    </row>
    <row r="48" spans="1:23">
      <c r="D48" s="49"/>
      <c r="E48" s="48"/>
      <c r="F48" s="49"/>
      <c r="G48" s="49"/>
      <c r="H48" s="49"/>
      <c r="I48" s="49"/>
      <c r="J48" s="49"/>
      <c r="K48" s="49"/>
      <c r="L48" s="146"/>
      <c r="M48" s="49"/>
      <c r="U48" s="161"/>
    </row>
    <row r="49" spans="1:21">
      <c r="A49" t="s">
        <v>33</v>
      </c>
      <c r="D49" s="49"/>
      <c r="E49" s="48"/>
      <c r="F49" s="49"/>
      <c r="G49" s="49"/>
      <c r="H49" s="49"/>
      <c r="I49" s="49"/>
      <c r="J49" s="49"/>
      <c r="K49" s="49"/>
      <c r="L49" s="146"/>
      <c r="M49" s="49"/>
      <c r="U49" s="161"/>
    </row>
    <row r="50" spans="1:21">
      <c r="A50" t="s">
        <v>34</v>
      </c>
      <c r="C50">
        <v>8</v>
      </c>
      <c r="D50" s="49">
        <v>-40000</v>
      </c>
      <c r="E50" s="48">
        <v>-23500</v>
      </c>
      <c r="F50" s="49">
        <v>-25224.7</v>
      </c>
      <c r="G50" s="49">
        <v>-27924.7</v>
      </c>
      <c r="H50" s="49">
        <v>-30000</v>
      </c>
      <c r="I50" s="49">
        <v>-30000</v>
      </c>
      <c r="J50" s="49"/>
      <c r="K50" s="49">
        <v>-30000</v>
      </c>
      <c r="L50" s="146"/>
      <c r="M50" s="49">
        <v>-30000</v>
      </c>
      <c r="U50" s="161">
        <v>-30000</v>
      </c>
    </row>
    <row r="51" spans="1:21" hidden="1">
      <c r="A51" t="s">
        <v>35</v>
      </c>
      <c r="D51" s="49">
        <f>35838.75-5630.62</f>
        <v>30208.13</v>
      </c>
      <c r="E51" s="48">
        <v>39498.46</v>
      </c>
      <c r="F51" s="49">
        <v>0</v>
      </c>
      <c r="G51" s="49">
        <v>0</v>
      </c>
      <c r="H51" s="49">
        <v>0</v>
      </c>
      <c r="I51" s="49">
        <v>0</v>
      </c>
      <c r="J51" s="49"/>
      <c r="K51" s="49">
        <v>0</v>
      </c>
      <c r="L51" s="146"/>
      <c r="M51" s="49">
        <v>0</v>
      </c>
      <c r="U51" s="161">
        <v>0</v>
      </c>
    </row>
    <row r="52" spans="1:21" hidden="1">
      <c r="A52" t="s">
        <v>36</v>
      </c>
      <c r="C52">
        <v>11</v>
      </c>
      <c r="D52" s="49">
        <v>-15000</v>
      </c>
      <c r="E52" s="48">
        <v>-15000</v>
      </c>
      <c r="F52" s="49">
        <v>-15000</v>
      </c>
      <c r="G52" s="49">
        <v>-15000</v>
      </c>
      <c r="H52" s="49">
        <v>0</v>
      </c>
      <c r="I52" s="49">
        <v>0</v>
      </c>
      <c r="J52" s="49"/>
      <c r="K52" s="49">
        <v>0</v>
      </c>
      <c r="L52" s="146"/>
      <c r="M52" s="49">
        <v>0</v>
      </c>
      <c r="U52" s="161">
        <v>0</v>
      </c>
    </row>
    <row r="53" spans="1:21" hidden="1">
      <c r="A53" t="s">
        <v>37</v>
      </c>
      <c r="D53" s="49">
        <v>-97766</v>
      </c>
      <c r="E53" s="48">
        <v>-71975.19</v>
      </c>
      <c r="F53" s="49">
        <v>0</v>
      </c>
      <c r="G53" s="49">
        <v>0</v>
      </c>
      <c r="H53" s="49">
        <v>0</v>
      </c>
      <c r="I53" s="49">
        <v>0</v>
      </c>
      <c r="J53" s="49"/>
      <c r="K53" s="49">
        <v>0</v>
      </c>
      <c r="L53" s="146"/>
      <c r="M53" s="49">
        <v>0</v>
      </c>
      <c r="U53" s="161">
        <v>0</v>
      </c>
    </row>
    <row r="54" spans="1:21" hidden="1">
      <c r="A54" t="s">
        <v>38</v>
      </c>
      <c r="D54" s="49">
        <v>0</v>
      </c>
      <c r="E54" s="49">
        <v>0</v>
      </c>
      <c r="F54" s="49">
        <v>0</v>
      </c>
      <c r="G54" s="49">
        <v>-39548.5</v>
      </c>
      <c r="H54" s="49">
        <v>0</v>
      </c>
      <c r="I54" s="49">
        <v>0</v>
      </c>
      <c r="J54" s="49"/>
      <c r="K54" s="49">
        <v>0</v>
      </c>
      <c r="L54" s="146"/>
      <c r="M54" s="49">
        <v>0</v>
      </c>
      <c r="U54" s="161">
        <v>0</v>
      </c>
    </row>
    <row r="55" spans="1:21">
      <c r="D55" s="49"/>
      <c r="E55" s="48"/>
      <c r="F55" s="49"/>
      <c r="G55" s="49"/>
      <c r="H55" s="49"/>
      <c r="I55" s="49"/>
      <c r="J55" s="146"/>
      <c r="K55" s="49"/>
      <c r="L55" s="146"/>
      <c r="M55" s="49"/>
      <c r="U55" s="161"/>
    </row>
    <row r="56" spans="1:21">
      <c r="A56" t="s">
        <v>39</v>
      </c>
      <c r="D56" s="51">
        <f t="shared" ref="D56:M56" si="3">SUM(D10:D54)</f>
        <v>3709689.4099999992</v>
      </c>
      <c r="E56" s="51">
        <f t="shared" si="3"/>
        <v>3665772.8799999994</v>
      </c>
      <c r="F56" s="51">
        <f t="shared" si="3"/>
        <v>2020375</v>
      </c>
      <c r="G56" s="51">
        <f t="shared" si="3"/>
        <v>1154154.1779999996</v>
      </c>
      <c r="H56" s="56">
        <f t="shared" si="3"/>
        <v>357610.50903994951</v>
      </c>
      <c r="I56" s="52">
        <f t="shared" si="3"/>
        <v>5778.6793447295204</v>
      </c>
      <c r="J56" s="131"/>
      <c r="K56" s="52">
        <f t="shared" si="3"/>
        <v>-141750.77131512063</v>
      </c>
      <c r="L56" s="131"/>
      <c r="M56" s="52">
        <f t="shared" si="3"/>
        <v>-494929.75649230811</v>
      </c>
      <c r="N56" s="54"/>
      <c r="O56" s="54"/>
      <c r="R56" s="54"/>
      <c r="U56" s="165">
        <f>SUM(U10:U54)</f>
        <v>-11500.060655270529</v>
      </c>
    </row>
    <row r="57" spans="1:21">
      <c r="D57" s="49"/>
      <c r="E57" s="48"/>
      <c r="F57" s="49"/>
      <c r="G57" s="49"/>
      <c r="H57" s="49"/>
      <c r="I57" s="49"/>
      <c r="J57" s="146"/>
      <c r="K57" s="49"/>
      <c r="L57" s="146"/>
      <c r="M57" s="49"/>
      <c r="U57" s="161"/>
    </row>
    <row r="58" spans="1:21">
      <c r="B58" t="s">
        <v>40</v>
      </c>
      <c r="D58" s="49">
        <v>-1500000</v>
      </c>
      <c r="E58" s="48">
        <v>-1500000</v>
      </c>
      <c r="F58" s="49">
        <v>-1500000</v>
      </c>
      <c r="G58" s="49">
        <v>0</v>
      </c>
      <c r="H58" s="49">
        <v>0</v>
      </c>
      <c r="I58" s="49">
        <v>0</v>
      </c>
      <c r="J58" s="146"/>
      <c r="K58" s="49">
        <v>0</v>
      </c>
      <c r="L58" s="146"/>
      <c r="M58" s="49">
        <v>0</v>
      </c>
      <c r="N58" s="49"/>
      <c r="O58" s="49"/>
      <c r="U58" s="161">
        <v>0</v>
      </c>
    </row>
    <row r="59" spans="1:21">
      <c r="D59" s="49"/>
      <c r="E59" s="48"/>
      <c r="F59" s="49"/>
      <c r="G59" s="49"/>
      <c r="H59" s="49"/>
      <c r="I59" s="49"/>
      <c r="J59" s="146"/>
      <c r="K59" s="49"/>
      <c r="L59" s="146"/>
      <c r="M59" s="49"/>
      <c r="N59" s="49"/>
      <c r="O59" s="49"/>
      <c r="U59" s="161"/>
    </row>
    <row r="60" spans="1:21">
      <c r="A60" t="s">
        <v>41</v>
      </c>
      <c r="D60" s="52">
        <f t="shared" ref="D60:K60" si="4">SUM(D56:D58)</f>
        <v>2209689.4099999992</v>
      </c>
      <c r="E60" s="53">
        <f t="shared" si="4"/>
        <v>2165772.8799999994</v>
      </c>
      <c r="F60" s="52">
        <f t="shared" si="4"/>
        <v>520375</v>
      </c>
      <c r="G60" s="52">
        <f t="shared" si="4"/>
        <v>1154154.1779999996</v>
      </c>
      <c r="H60" s="52">
        <f t="shared" si="4"/>
        <v>357610.50903994951</v>
      </c>
      <c r="I60" s="52">
        <f t="shared" si="4"/>
        <v>5778.6793447295204</v>
      </c>
      <c r="J60" s="131"/>
      <c r="K60" s="52">
        <f t="shared" si="4"/>
        <v>-141750.77131512063</v>
      </c>
      <c r="L60" s="131"/>
      <c r="M60" s="52">
        <f t="shared" ref="M60" si="5">SUM(M56:M58)</f>
        <v>-494929.75649230811</v>
      </c>
      <c r="N60" s="131"/>
      <c r="O60" s="131"/>
      <c r="U60" s="165">
        <f t="shared" ref="U60" si="6">SUM(U56:U58)</f>
        <v>-11500.060655270529</v>
      </c>
    </row>
    <row r="61" spans="1:21">
      <c r="D61" s="25"/>
      <c r="E61" s="25"/>
      <c r="F61" s="26"/>
      <c r="G61" s="26"/>
      <c r="H61" s="26"/>
      <c r="I61" s="26"/>
      <c r="J61" s="26"/>
      <c r="U61" s="26"/>
    </row>
    <row r="63" spans="1:21">
      <c r="F63" s="5"/>
      <c r="G63" s="23"/>
    </row>
    <row r="64" spans="1:21" hidden="1">
      <c r="G64" s="23"/>
    </row>
    <row r="65" spans="1:29" hidden="1">
      <c r="A65" s="13" t="s">
        <v>42</v>
      </c>
      <c r="B65" s="12"/>
      <c r="C65" s="12"/>
      <c r="D65" s="12"/>
      <c r="E65" s="14" t="str">
        <f>E3</f>
        <v>FY 18-19</v>
      </c>
      <c r="F65" s="14" t="str">
        <f>F3</f>
        <v>FY 19-20</v>
      </c>
      <c r="G65" s="23"/>
      <c r="H65" s="14" t="str">
        <f>H3</f>
        <v>FY 2021-22</v>
      </c>
      <c r="I65" s="14" t="str">
        <f>I3</f>
        <v>FY 2022-23</v>
      </c>
      <c r="J65" s="2"/>
      <c r="Q65" s="13" t="s">
        <v>43</v>
      </c>
      <c r="R65" s="11"/>
      <c r="S65" s="11"/>
      <c r="T65" s="11"/>
      <c r="U65" s="11"/>
      <c r="V65" s="11"/>
      <c r="W65" s="11"/>
      <c r="X65" s="11"/>
      <c r="Y65" s="11"/>
      <c r="Z65" s="12"/>
    </row>
    <row r="66" spans="1:29" hidden="1">
      <c r="A66" s="8"/>
      <c r="G66" s="23"/>
    </row>
    <row r="67" spans="1:29" hidden="1">
      <c r="A67" s="8" t="s">
        <v>44</v>
      </c>
      <c r="G67" s="23"/>
    </row>
    <row r="68" spans="1:29" hidden="1">
      <c r="A68" t="s">
        <v>45</v>
      </c>
      <c r="F68" s="5">
        <v>49676</v>
      </c>
      <c r="G68" s="23"/>
      <c r="H68" s="5">
        <v>49676</v>
      </c>
      <c r="I68" s="5">
        <v>49676</v>
      </c>
      <c r="J68" s="5"/>
      <c r="Q68" t="s">
        <v>46</v>
      </c>
    </row>
    <row r="69" spans="1:29" hidden="1">
      <c r="A69" t="s">
        <v>47</v>
      </c>
      <c r="D69" t="s">
        <v>48</v>
      </c>
      <c r="F69" s="5">
        <v>0</v>
      </c>
      <c r="G69" s="23"/>
      <c r="H69" s="5">
        <v>29067.869999999995</v>
      </c>
      <c r="I69" s="5">
        <v>29067.869999999995</v>
      </c>
      <c r="J69" s="5"/>
      <c r="Q69" t="s">
        <v>49</v>
      </c>
    </row>
    <row r="70" spans="1:29" hidden="1">
      <c r="A70" t="s">
        <v>50</v>
      </c>
      <c r="C70">
        <v>10</v>
      </c>
      <c r="D70" t="s">
        <v>51</v>
      </c>
      <c r="E70" s="4"/>
      <c r="F70" s="5">
        <v>27080.3</v>
      </c>
      <c r="G70" s="23"/>
      <c r="H70" s="5">
        <v>93872.88</v>
      </c>
      <c r="I70" s="5">
        <v>93872.88</v>
      </c>
      <c r="J70" s="5"/>
      <c r="Q70" t="s">
        <v>52</v>
      </c>
    </row>
    <row r="71" spans="1:29" hidden="1">
      <c r="A71" t="s">
        <v>53</v>
      </c>
      <c r="D71" t="s">
        <v>54</v>
      </c>
      <c r="E71" s="5"/>
      <c r="F71" s="5">
        <v>0</v>
      </c>
      <c r="G71" s="23"/>
      <c r="H71" s="5">
        <f>36676.79-12621.48</f>
        <v>24055.31</v>
      </c>
      <c r="I71" s="5">
        <f>36676.79-12621.48</f>
        <v>24055.31</v>
      </c>
      <c r="J71" s="5"/>
      <c r="Q71" t="s">
        <v>55</v>
      </c>
      <c r="AC71" t="s">
        <v>56</v>
      </c>
    </row>
    <row r="72" spans="1:29" hidden="1">
      <c r="A72" t="s">
        <v>57</v>
      </c>
      <c r="C72">
        <v>10</v>
      </c>
      <c r="D72" t="s">
        <v>58</v>
      </c>
      <c r="E72" s="5"/>
      <c r="F72" s="5">
        <v>126526.97</v>
      </c>
      <c r="G72" s="23"/>
      <c r="H72" s="5">
        <v>164478.78</v>
      </c>
      <c r="I72" s="5">
        <v>164478.78</v>
      </c>
      <c r="J72" s="5"/>
      <c r="Q72" t="s">
        <v>59</v>
      </c>
    </row>
    <row r="73" spans="1:29" hidden="1">
      <c r="A73" t="s">
        <v>60</v>
      </c>
      <c r="D73" s="5" t="s">
        <v>61</v>
      </c>
      <c r="E73" s="5"/>
      <c r="F73" s="5">
        <f>134526.99+35148.78</f>
        <v>169675.77</v>
      </c>
      <c r="G73" s="23"/>
      <c r="H73" s="5"/>
      <c r="I73" s="5"/>
      <c r="J73" s="5"/>
      <c r="Q73" t="s">
        <v>62</v>
      </c>
    </row>
    <row r="74" spans="1:29" hidden="1">
      <c r="A74" t="s">
        <v>63</v>
      </c>
      <c r="D74" t="s">
        <v>64</v>
      </c>
      <c r="E74" s="5"/>
      <c r="F74" s="5">
        <v>4798.76</v>
      </c>
      <c r="G74" s="23"/>
      <c r="H74" s="5"/>
      <c r="I74" s="5"/>
      <c r="J74" s="5"/>
      <c r="Q74" t="s">
        <v>65</v>
      </c>
    </row>
    <row r="75" spans="1:29" hidden="1">
      <c r="G75" s="23"/>
    </row>
    <row r="76" spans="1:29" hidden="1">
      <c r="A76" t="s">
        <v>66</v>
      </c>
      <c r="C76">
        <v>10</v>
      </c>
      <c r="E76" s="5"/>
      <c r="F76" s="5">
        <v>121000</v>
      </c>
      <c r="G76" s="23"/>
      <c r="H76" s="5">
        <v>96000</v>
      </c>
      <c r="I76" s="5"/>
      <c r="J76" s="5"/>
      <c r="Q76" s="5"/>
    </row>
    <row r="77" spans="1:29" hidden="1">
      <c r="E77" s="5"/>
      <c r="F77" s="5"/>
      <c r="G77" s="23"/>
      <c r="H77" s="5"/>
      <c r="I77" s="5"/>
      <c r="J77" s="5"/>
      <c r="Q77" s="5"/>
    </row>
    <row r="78" spans="1:29" hidden="1">
      <c r="A78" s="8" t="s">
        <v>6</v>
      </c>
      <c r="E78" s="5"/>
      <c r="F78" s="5"/>
      <c r="G78" s="23"/>
      <c r="H78" s="5"/>
      <c r="I78" s="5"/>
      <c r="J78" s="5"/>
      <c r="Q78" s="5"/>
    </row>
    <row r="79" spans="1:29" hidden="1">
      <c r="A79" t="s">
        <v>67</v>
      </c>
      <c r="E79" s="5"/>
      <c r="F79" s="5"/>
      <c r="G79" s="23"/>
      <c r="H79" s="5"/>
      <c r="I79" s="5"/>
      <c r="J79" s="5"/>
      <c r="Q79" s="5"/>
    </row>
    <row r="80" spans="1:29" hidden="1">
      <c r="A80" t="s">
        <v>68</v>
      </c>
      <c r="E80" s="5"/>
      <c r="F80" s="5"/>
      <c r="G80" s="23"/>
      <c r="H80" s="5"/>
      <c r="I80" s="5"/>
      <c r="J80" s="5"/>
      <c r="Q80" s="5"/>
    </row>
    <row r="81" spans="1:17" hidden="1">
      <c r="A81" t="s">
        <v>69</v>
      </c>
      <c r="E81" s="5"/>
      <c r="F81" s="5"/>
      <c r="G81" s="23"/>
      <c r="H81" s="5"/>
      <c r="I81" s="5"/>
      <c r="J81" s="5"/>
      <c r="Q81" s="5"/>
    </row>
    <row r="82" spans="1:17" hidden="1">
      <c r="E82" s="5"/>
      <c r="F82" s="5"/>
      <c r="G82" s="23"/>
      <c r="H82" s="5"/>
      <c r="I82" s="5"/>
      <c r="J82" s="5"/>
      <c r="Q82" s="5"/>
    </row>
    <row r="83" spans="1:17" hidden="1">
      <c r="A83" t="s">
        <v>70</v>
      </c>
      <c r="F83" s="10">
        <f>SUM(F67:F82)</f>
        <v>498757.80000000005</v>
      </c>
      <c r="G83" s="23"/>
      <c r="H83" s="10">
        <f>SUM(H67:H82)</f>
        <v>457150.83999999997</v>
      </c>
      <c r="I83" s="10">
        <f>SUM(I67:I82)</f>
        <v>361150.83999999997</v>
      </c>
      <c r="J83" s="5"/>
      <c r="Q83" s="5"/>
    </row>
    <row r="84" spans="1:17" hidden="1">
      <c r="F84" s="5"/>
      <c r="G84" s="23"/>
      <c r="Q84" s="5"/>
    </row>
    <row r="85" spans="1:17" hidden="1">
      <c r="D85" s="5"/>
      <c r="F85" s="5"/>
      <c r="G85" s="23"/>
      <c r="Q85" s="5"/>
    </row>
    <row r="86" spans="1:17" hidden="1">
      <c r="A86" s="7" t="s">
        <v>71</v>
      </c>
      <c r="B86" t="s">
        <v>72</v>
      </c>
      <c r="F86" s="5"/>
      <c r="G86" s="23"/>
      <c r="Q86" s="5"/>
    </row>
    <row r="87" spans="1:17" hidden="1">
      <c r="F87" s="5"/>
      <c r="G87" s="23"/>
      <c r="Q87" s="5"/>
    </row>
    <row r="88" spans="1:17">
      <c r="F88" s="5"/>
      <c r="G88" s="23"/>
    </row>
    <row r="89" spans="1:17" hidden="1">
      <c r="F89" s="5">
        <v>2020375</v>
      </c>
      <c r="G89" s="23"/>
    </row>
    <row r="90" spans="1:17" hidden="1">
      <c r="F90" s="5">
        <f>F56</f>
        <v>2020375</v>
      </c>
      <c r="G90" s="23"/>
    </row>
    <row r="91" spans="1:17" hidden="1">
      <c r="F91" s="15">
        <f>F89-F90</f>
        <v>0</v>
      </c>
      <c r="G91" s="23"/>
    </row>
    <row r="92" spans="1:17">
      <c r="F92" s="5"/>
      <c r="G92" s="23"/>
    </row>
    <row r="93" spans="1:17">
      <c r="F93" s="5"/>
      <c r="G93" s="23"/>
    </row>
    <row r="94" spans="1:17">
      <c r="F94" s="5"/>
    </row>
    <row r="95" spans="1:17">
      <c r="F95" s="5"/>
    </row>
    <row r="96" spans="1:17">
      <c r="F96" s="5"/>
    </row>
    <row r="97" spans="6:6">
      <c r="F97" s="5"/>
    </row>
    <row r="98" spans="6:6">
      <c r="F98" s="5"/>
    </row>
  </sheetData>
  <mergeCells count="2">
    <mergeCell ref="I3:M3"/>
    <mergeCell ref="P4:S4"/>
  </mergeCells>
  <printOptions horizontalCentered="1"/>
  <pageMargins left="0.7" right="0.7" top="0.75" bottom="0.75" header="0.5" footer="0.5"/>
  <pageSetup scale="69" orientation="portrait" horizontalDpi="4294967292" verticalDpi="429496729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AB9F2-587D-2547-B819-A927D80646E4}">
  <dimension ref="A1:N13"/>
  <sheetViews>
    <sheetView topLeftCell="C1" zoomScale="120" zoomScaleNormal="120" workbookViewId="0">
      <selection activeCell="M18" sqref="M18"/>
    </sheetView>
  </sheetViews>
  <sheetFormatPr defaultColWidth="11" defaultRowHeight="15.95"/>
  <cols>
    <col min="2" max="2" width="16.5" customWidth="1"/>
    <col min="9" max="9" width="27.125" bestFit="1" customWidth="1"/>
    <col min="10" max="10" width="10.375" bestFit="1" customWidth="1"/>
    <col min="11" max="11" width="11.5" bestFit="1" customWidth="1"/>
    <col min="12" max="12" width="10.125" bestFit="1" customWidth="1"/>
    <col min="13" max="13" width="13.875" bestFit="1" customWidth="1"/>
  </cols>
  <sheetData>
    <row r="1" spans="1:14">
      <c r="A1" s="31" t="s">
        <v>351</v>
      </c>
      <c r="B1" s="32" t="s">
        <v>352</v>
      </c>
      <c r="C1" s="31" t="s">
        <v>353</v>
      </c>
      <c r="D1" s="31" t="s">
        <v>354</v>
      </c>
      <c r="E1" s="31" t="s">
        <v>355</v>
      </c>
      <c r="F1" s="32" t="s">
        <v>356</v>
      </c>
      <c r="G1" s="31" t="s">
        <v>357</v>
      </c>
      <c r="H1" s="31" t="s">
        <v>358</v>
      </c>
      <c r="I1" s="32" t="s">
        <v>359</v>
      </c>
      <c r="J1" s="32" t="s">
        <v>360</v>
      </c>
      <c r="K1" s="33" t="s">
        <v>361</v>
      </c>
      <c r="L1" s="32" t="s">
        <v>362</v>
      </c>
      <c r="M1" s="33" t="s">
        <v>363</v>
      </c>
    </row>
    <row r="3" spans="1:14">
      <c r="A3" s="28">
        <v>230030</v>
      </c>
      <c r="B3" s="29" t="s">
        <v>364</v>
      </c>
      <c r="C3" s="28">
        <v>10203757</v>
      </c>
      <c r="D3" s="28">
        <v>114080</v>
      </c>
      <c r="E3" s="28">
        <v>581011</v>
      </c>
      <c r="F3" s="29" t="s">
        <v>365</v>
      </c>
      <c r="G3" s="28">
        <v>2170</v>
      </c>
      <c r="H3" s="28">
        <v>699000</v>
      </c>
      <c r="I3" s="29" t="s">
        <v>366</v>
      </c>
      <c r="J3" s="29">
        <v>1</v>
      </c>
      <c r="K3" s="30">
        <v>53849.16</v>
      </c>
      <c r="L3" s="34">
        <v>0.46742</v>
      </c>
      <c r="M3" s="30">
        <f>K3*L3</f>
        <v>25170.174367200001</v>
      </c>
      <c r="N3" s="23"/>
    </row>
    <row r="4" spans="1:14">
      <c r="A4" s="28">
        <v>230205</v>
      </c>
      <c r="B4" s="29" t="s">
        <v>367</v>
      </c>
      <c r="C4" s="28">
        <v>20194764</v>
      </c>
      <c r="D4" s="28">
        <v>114080</v>
      </c>
      <c r="E4" s="28">
        <v>581011</v>
      </c>
      <c r="F4" s="29" t="s">
        <v>365</v>
      </c>
      <c r="G4" s="28">
        <v>2170</v>
      </c>
      <c r="H4" s="28">
        <v>699000</v>
      </c>
      <c r="I4" s="29" t="s">
        <v>368</v>
      </c>
      <c r="J4" s="29">
        <v>1</v>
      </c>
      <c r="K4" s="30">
        <v>73830.64</v>
      </c>
      <c r="L4" s="34">
        <v>0.46742</v>
      </c>
      <c r="M4" s="30">
        <f t="shared" ref="M4:M6" si="0">K4*L4</f>
        <v>34509.917748799999</v>
      </c>
    </row>
    <row r="5" spans="1:14">
      <c r="A5" s="28">
        <v>230510</v>
      </c>
      <c r="B5" s="29" t="s">
        <v>369</v>
      </c>
      <c r="C5" s="28">
        <v>10284048</v>
      </c>
      <c r="D5" s="28">
        <v>114080</v>
      </c>
      <c r="E5" s="28">
        <v>581011</v>
      </c>
      <c r="F5" s="29" t="s">
        <v>365</v>
      </c>
      <c r="G5" s="28">
        <v>2170</v>
      </c>
      <c r="H5" s="28">
        <v>699000</v>
      </c>
      <c r="I5" s="29" t="s">
        <v>370</v>
      </c>
      <c r="J5" s="29">
        <v>1</v>
      </c>
      <c r="K5" s="30">
        <v>70242.039999999994</v>
      </c>
      <c r="L5" s="34">
        <v>0.46742</v>
      </c>
      <c r="M5" s="30">
        <f t="shared" si="0"/>
        <v>32832.534336799996</v>
      </c>
    </row>
    <row r="6" spans="1:14">
      <c r="A6" s="28">
        <v>230983</v>
      </c>
      <c r="B6" s="29" t="s">
        <v>371</v>
      </c>
      <c r="C6" s="28">
        <v>20408792</v>
      </c>
      <c r="D6" s="28">
        <v>114080</v>
      </c>
      <c r="E6" s="28">
        <v>581011</v>
      </c>
      <c r="F6" s="29" t="s">
        <v>365</v>
      </c>
      <c r="G6" s="28">
        <v>2170</v>
      </c>
      <c r="H6" s="28">
        <v>699000</v>
      </c>
      <c r="I6" s="29" t="s">
        <v>372</v>
      </c>
      <c r="J6" s="29">
        <v>1</v>
      </c>
      <c r="K6" s="30">
        <v>63678.68</v>
      </c>
      <c r="L6" s="34">
        <v>0.46742</v>
      </c>
      <c r="M6" s="30">
        <f t="shared" si="0"/>
        <v>29764.6886056</v>
      </c>
    </row>
    <row r="7" spans="1:14">
      <c r="K7" s="23">
        <f>SUM(K3:K6)</f>
        <v>261600.52</v>
      </c>
      <c r="M7" s="23">
        <f>SUM(M3:M6)</f>
        <v>122277.31505840001</v>
      </c>
    </row>
    <row r="9" spans="1:14" ht="17.100000000000001" thickBot="1">
      <c r="A9" s="36"/>
      <c r="B9" s="36"/>
      <c r="C9" s="36"/>
      <c r="D9" s="36"/>
      <c r="E9" s="36"/>
      <c r="F9" s="36"/>
      <c r="G9" s="36"/>
      <c r="H9" s="36"/>
      <c r="I9" s="36"/>
      <c r="J9" s="36" t="s">
        <v>341</v>
      </c>
      <c r="K9" s="36"/>
      <c r="L9" s="36" t="s">
        <v>373</v>
      </c>
      <c r="M9" s="35">
        <f>K7+M7</f>
        <v>383877.8350584</v>
      </c>
    </row>
    <row r="10" spans="1:14" ht="17.100000000000001" thickTop="1">
      <c r="J10" t="s">
        <v>341</v>
      </c>
      <c r="L10" s="43">
        <v>0.66666666666666663</v>
      </c>
      <c r="M10" s="23">
        <f>M9*L10</f>
        <v>255918.5567056</v>
      </c>
    </row>
    <row r="12" spans="1:14">
      <c r="J12" t="s">
        <v>342</v>
      </c>
      <c r="K12" t="s">
        <v>374</v>
      </c>
      <c r="M12" s="23">
        <f>M9+(M9*5%)</f>
        <v>403071.72681132</v>
      </c>
    </row>
    <row r="13" spans="1:14">
      <c r="J13" t="s">
        <v>375</v>
      </c>
      <c r="K13" t="s">
        <v>374</v>
      </c>
      <c r="M13" s="23">
        <f>M12+(M12*5%)</f>
        <v>423225.31315188599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FE4C0ED4C6F44B510434612B3889F" ma:contentTypeVersion="4" ma:contentTypeDescription="Create a new document." ma:contentTypeScope="" ma:versionID="d6f7d9a4ff89d55cd870ed78fc267ac0">
  <xsd:schema xmlns:xsd="http://www.w3.org/2001/XMLSchema" xmlns:xs="http://www.w3.org/2001/XMLSchema" xmlns:p="http://schemas.microsoft.com/office/2006/metadata/properties" xmlns:ns2="eb421c9a-5985-4798-82dc-e4fd22fd9112" xmlns:ns3="5a2cafa4-63b1-44a6-b6c5-af061f759c11" targetNamespace="http://schemas.microsoft.com/office/2006/metadata/properties" ma:root="true" ma:fieldsID="35c9d57ee72efdc1a492fe60d1200978" ns2:_="" ns3:_="">
    <xsd:import namespace="eb421c9a-5985-4798-82dc-e4fd22fd9112"/>
    <xsd:import namespace="5a2cafa4-63b1-44a6-b6c5-af061f759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21c9a-5985-4798-82dc-e4fd22fd91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cafa4-63b1-44a6-b6c5-af061f759c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C66F5-49B3-4B1E-82D0-83C5D3A419CC}"/>
</file>

<file path=customXml/itemProps2.xml><?xml version="1.0" encoding="utf-8"?>
<ds:datastoreItem xmlns:ds="http://schemas.openxmlformats.org/officeDocument/2006/customXml" ds:itemID="{99F05D99-C202-4C91-9A53-6307124FB3A2}"/>
</file>

<file path=customXml/itemProps3.xml><?xml version="1.0" encoding="utf-8"?>
<ds:datastoreItem xmlns:ds="http://schemas.openxmlformats.org/officeDocument/2006/customXml" ds:itemID="{D40F6016-FDD8-4DAB-9F34-3187FCDBC9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FHDA</dc:creator>
  <cp:keywords/>
  <dc:description/>
  <cp:lastModifiedBy/>
  <cp:revision/>
  <dcterms:created xsi:type="dcterms:W3CDTF">2019-09-18T17:18:17Z</dcterms:created>
  <dcterms:modified xsi:type="dcterms:W3CDTF">2022-01-27T18:54:36Z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0x0101001B9FE4C0ED4C6F44B510434612B3889F</vt:lpwstr>
  </property>
</Properties>
</file>